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tabRatio="910" firstSheet="1" activeTab="1"/>
  </bookViews>
  <sheets>
    <sheet name="封面" sheetId="67" r:id="rId1"/>
    <sheet name="表一财政收入表" sheetId="58" r:id="rId2"/>
    <sheet name="表二一般公共预算支出执行表" sheetId="65" r:id="rId3"/>
    <sheet name="表三一般公共预算收支总表" sheetId="60" r:id="rId4"/>
    <sheet name="表四一般公共预算支出预算表" sheetId="62" r:id="rId5"/>
    <sheet name="表四政府经济分类科目表" sheetId="66" r:id="rId6"/>
    <sheet name="表五政府性基金收支总表" sheetId="57" r:id="rId7"/>
    <sheet name="表五政府性基金支出明细表" sheetId="63" r:id="rId8"/>
    <sheet name="表六国有资本经营预算收支表" sheetId="56" r:id="rId9"/>
    <sheet name="表七社会保险基金收支表" sheetId="48" r:id="rId10"/>
    <sheet name="Sheet2" sheetId="69" state="hidden" r:id="rId11"/>
  </sheets>
  <externalReferences>
    <externalReference r:id="rId13"/>
    <externalReference r:id="rId14"/>
    <externalReference r:id="rId15"/>
    <externalReference r:id="rId16"/>
  </externalReferences>
  <definedNames>
    <definedName name="_xlnm._FilterDatabase" localSheetId="1" hidden="1">表一财政收入表!$A$4:$H$41</definedName>
    <definedName name="_xlnm._FilterDatabase" localSheetId="2" hidden="1">表二一般公共预算支出执行表!$A$5:$L$159</definedName>
    <definedName name="_xlnm._FilterDatabase" localSheetId="3" hidden="1">表三一般公共预算收支总表!$A$4:$I$40</definedName>
    <definedName name="_xlnm._FilterDatabase" localSheetId="4" hidden="1">表四一般公共预算支出预算表!$A$6:$AF$152</definedName>
    <definedName name="_xlnm._FilterDatabase" localSheetId="5" hidden="1">表四政府经济分类科目表!$A$4:$IG$53</definedName>
    <definedName name="_xlnm._FilterDatabase" localSheetId="6" hidden="1">表五政府性基金收支总表!$A$4:$H$45</definedName>
    <definedName name="_xlnm.Print_Area" localSheetId="2">表二一般公共预算支出执行表!$A$1:$G$158</definedName>
    <definedName name="_xlnm.Print_Area" localSheetId="9">表七社会保险基金收支表!$A$1:$G$34</definedName>
    <definedName name="_xlnm.Print_Area" localSheetId="3">表三一般公共预算收支总表!$A$1:$I$39</definedName>
    <definedName name="_xlnm.Print_Area" localSheetId="4">表四一般公共预算支出预算表!$A$1:$P$152</definedName>
    <definedName name="_xlnm.Print_Area" localSheetId="6">表五政府性基金收支总表!$A$1:$H$44</definedName>
    <definedName name="_xlnm.Print_Area" localSheetId="7">表五政府性基金支出明细表!$A$1:$C$8</definedName>
    <definedName name="_xlnm.Print_Area" localSheetId="1">表一财政收入表!$A$1:$H$34</definedName>
    <definedName name="_xlnm.Print_Area">[1]Sheet3!$A$1:$W$7</definedName>
    <definedName name="_xlnm.Print_Titles" localSheetId="2">表二一般公共预算支出执行表!$1:$4</definedName>
    <definedName name="_xlnm.Print_Titles" localSheetId="3">表三一般公共预算收支总表!$1:$4</definedName>
    <definedName name="_xlnm.Print_Titles" localSheetId="4">表四一般公共预算支出预算表!$1:$5</definedName>
    <definedName name="_xlnm.Print_Titles" localSheetId="6">表五政府性基金收支总表!$1:$4</definedName>
    <definedName name="_xlnm.Print_Titles" localSheetId="7">表五政府性基金支出明细表!$1:$3</definedName>
    <definedName name="_xlnm.Print_Titles" localSheetId="1">表一财政收入表!$1:$4</definedName>
    <definedName name="_xlnm.Print_Titles">#N/A</definedName>
  </definedNames>
  <calcPr calcId="144525"/>
</workbook>
</file>

<file path=xl/comments1.xml><?xml version="1.0" encoding="utf-8"?>
<comments xmlns="http://schemas.openxmlformats.org/spreadsheetml/2006/main">
  <authors>
    <author>SkyUser</author>
  </authors>
  <commentList>
    <comment ref="C4" authorId="0">
      <text>
        <r>
          <rPr>
            <b/>
            <sz val="9"/>
            <rFont val="宋体"/>
            <charset val="134"/>
          </rPr>
          <t>SkyUser:</t>
        </r>
        <r>
          <rPr>
            <sz val="9"/>
            <rFont val="宋体"/>
            <charset val="134"/>
          </rPr>
          <t xml:space="preserve">
调整预算数</t>
        </r>
      </text>
    </comment>
  </commentList>
</comments>
</file>

<file path=xl/comments2.xml><?xml version="1.0" encoding="utf-8"?>
<comments xmlns="http://schemas.openxmlformats.org/spreadsheetml/2006/main">
  <authors>
    <author>SkyUser</author>
  </authors>
  <commentList>
    <comment ref="D3" authorId="0">
      <text>
        <r>
          <rPr>
            <b/>
            <sz val="9"/>
            <rFont val="宋体"/>
            <charset val="134"/>
          </rPr>
          <t>SkyUser:</t>
        </r>
        <r>
          <rPr>
            <sz val="9"/>
            <rFont val="宋体"/>
            <charset val="134"/>
          </rPr>
          <t xml:space="preserve">
调整预算数</t>
        </r>
      </text>
    </comment>
  </commentList>
</comments>
</file>

<file path=xl/comments3.xml><?xml version="1.0" encoding="utf-8"?>
<comments xmlns="http://schemas.openxmlformats.org/spreadsheetml/2006/main">
  <authors>
    <author>SkyUser</author>
  </authors>
  <commentList>
    <comment ref="C4" authorId="0">
      <text>
        <r>
          <rPr>
            <b/>
            <sz val="9"/>
            <rFont val="宋体"/>
            <charset val="134"/>
          </rPr>
          <t>SkyUser:</t>
        </r>
        <r>
          <rPr>
            <sz val="9"/>
            <rFont val="宋体"/>
            <charset val="134"/>
          </rPr>
          <t xml:space="preserve">
调整预算数</t>
        </r>
      </text>
    </comment>
  </commentList>
</comments>
</file>

<file path=xl/comments4.xml><?xml version="1.0" encoding="utf-8"?>
<comments xmlns="http://schemas.openxmlformats.org/spreadsheetml/2006/main">
  <authors>
    <author>徐霜</author>
    <author>Administrator</author>
    <author>lenovo</author>
  </authors>
  <commentList>
    <comment ref="E6" authorId="0">
      <text>
        <r>
          <rPr>
            <sz val="9"/>
            <rFont val="宋体"/>
            <charset val="134"/>
          </rPr>
          <t>养老保险7000万；绩效4亿（教育系统1.8亿，公积金2000万、其他1.99亿，科技100万）；村干绩效832万；职业年金欠费3000万，公积金等欠费1800万（科技），工会欠费700万（其他）</t>
        </r>
      </text>
    </comment>
    <comment ref="K6" authorId="0">
      <text>
        <r>
          <rPr>
            <sz val="9"/>
            <rFont val="宋体"/>
            <charset val="134"/>
          </rPr>
          <t>养老保险10000万；绩效2.5亿（教育系统1.5亿，其他1亿）；村干绩效600万；预留以前年度欠缴社保公积金及工会费8000万（206科目1900万、205科目3600万，其他科目2500万），公务员医疗补助1600万，</t>
        </r>
      </text>
    </comment>
    <comment ref="E10" authorId="0">
      <text>
        <r>
          <rPr>
            <b/>
            <sz val="9"/>
            <rFont val="宋体"/>
            <charset val="134"/>
          </rPr>
          <t>徐霜:</t>
        </r>
        <r>
          <rPr>
            <sz val="9"/>
            <rFont val="宋体"/>
            <charset val="134"/>
          </rPr>
          <t xml:space="preserve">
村干增资832万</t>
        </r>
      </text>
    </comment>
    <comment ref="K10" authorId="0">
      <text>
        <r>
          <rPr>
            <b/>
            <sz val="9"/>
            <rFont val="宋体"/>
            <charset val="134"/>
          </rPr>
          <t>徐霜:</t>
        </r>
        <r>
          <rPr>
            <sz val="9"/>
            <rFont val="宋体"/>
            <charset val="134"/>
          </rPr>
          <t xml:space="preserve">
村干绩效600万</t>
        </r>
      </text>
    </comment>
    <comment ref="K42" authorId="1">
      <text>
        <r>
          <rPr>
            <b/>
            <sz val="9"/>
            <rFont val="宋体"/>
            <charset val="134"/>
          </rPr>
          <t>Administrator:</t>
        </r>
        <r>
          <rPr>
            <sz val="9"/>
            <rFont val="宋体"/>
            <charset val="134"/>
          </rPr>
          <t xml:space="preserve">
预留以前年度欠缴社保公积金及工会费3600万</t>
        </r>
      </text>
    </comment>
    <comment ref="K50" authorId="1">
      <text>
        <r>
          <rPr>
            <b/>
            <sz val="9"/>
            <rFont val="宋体"/>
            <charset val="134"/>
          </rPr>
          <t>Administrator:</t>
        </r>
        <r>
          <rPr>
            <sz val="9"/>
            <rFont val="宋体"/>
            <charset val="134"/>
          </rPr>
          <t xml:space="preserve">
预留以前年度欠缴社保公积金及工会费2000万元</t>
        </r>
      </text>
    </comment>
    <comment ref="K62" authorId="1">
      <text>
        <r>
          <rPr>
            <b/>
            <sz val="9"/>
            <rFont val="宋体"/>
            <charset val="134"/>
          </rPr>
          <t>Administrator:</t>
        </r>
        <r>
          <rPr>
            <sz val="9"/>
            <rFont val="宋体"/>
            <charset val="134"/>
          </rPr>
          <t xml:space="preserve">
 预留机关事业养老保险基金收支缺口10000万</t>
        </r>
      </text>
    </comment>
    <comment ref="B73" authorId="2">
      <text>
        <r>
          <rPr>
            <sz val="9"/>
            <rFont val="宋体"/>
            <charset val="134"/>
          </rPr>
          <t xml:space="preserve">机关养老保险缺口应放2080507科目
</t>
        </r>
      </text>
    </comment>
    <comment ref="K83" authorId="1">
      <text>
        <r>
          <rPr>
            <b/>
            <sz val="9"/>
            <rFont val="宋体"/>
            <charset val="134"/>
          </rPr>
          <t>Administrator:</t>
        </r>
        <r>
          <rPr>
            <sz val="9"/>
            <rFont val="宋体"/>
            <charset val="134"/>
          </rPr>
          <t xml:space="preserve">
  预留公务员医疗补助1600万元，预留以前年度欠缴社保公积金及工会费1500万</t>
        </r>
      </text>
    </comment>
    <comment ref="K150" authorId="1">
      <text>
        <r>
          <rPr>
            <b/>
            <sz val="9"/>
            <rFont val="宋体"/>
            <charset val="134"/>
          </rPr>
          <t>Administrator:</t>
        </r>
        <r>
          <rPr>
            <sz val="9"/>
            <rFont val="宋体"/>
            <charset val="134"/>
          </rPr>
          <t xml:space="preserve">
预留以前年度欠缴社保公积金及工会费900万，绩效10000万</t>
        </r>
      </text>
    </comment>
  </commentList>
</comments>
</file>

<file path=xl/comments5.xml><?xml version="1.0" encoding="utf-8"?>
<comments xmlns="http://schemas.openxmlformats.org/spreadsheetml/2006/main">
  <authors>
    <author>徐霜</author>
    <author>lenovo</author>
  </authors>
  <commentList>
    <comment ref="C4" authorId="0">
      <text>
        <r>
          <rPr>
            <b/>
            <sz val="9"/>
            <rFont val="宋体"/>
            <charset val="134"/>
          </rPr>
          <t>徐霜</t>
        </r>
        <r>
          <rPr>
            <b/>
            <sz val="9"/>
            <rFont val="Tahoma"/>
            <charset val="134"/>
          </rPr>
          <t>:</t>
        </r>
        <r>
          <rPr>
            <sz val="9"/>
            <rFont val="Tahoma"/>
            <charset val="134"/>
          </rPr>
          <t xml:space="preserve">
</t>
        </r>
        <r>
          <rPr>
            <sz val="9"/>
            <rFont val="宋体"/>
            <charset val="134"/>
          </rPr>
          <t>预算调整数</t>
        </r>
      </text>
    </comment>
    <comment ref="D12" authorId="1">
      <text>
        <r>
          <rPr>
            <b/>
            <sz val="9"/>
            <rFont val="宋体"/>
            <charset val="134"/>
          </rPr>
          <t>徐霜:</t>
        </r>
        <r>
          <rPr>
            <sz val="9"/>
            <rFont val="宋体"/>
            <charset val="134"/>
          </rPr>
          <t xml:space="preserve">
财力3亿
</t>
        </r>
      </text>
    </comment>
    <comment ref="D40" authorId="1">
      <text>
        <r>
          <rPr>
            <sz val="9"/>
            <rFont val="宋体"/>
            <charset val="134"/>
          </rPr>
          <t>市级土地出让金</t>
        </r>
      </text>
    </comment>
    <comment ref="D43" authorId="1">
      <text>
        <r>
          <rPr>
            <b/>
            <sz val="9"/>
            <rFont val="宋体"/>
            <charset val="134"/>
          </rPr>
          <t>lenovo:</t>
        </r>
        <r>
          <rPr>
            <sz val="9"/>
            <rFont val="宋体"/>
            <charset val="134"/>
          </rPr>
          <t xml:space="preserve">
上级专项结余万元,,专项债结余17302万</t>
        </r>
      </text>
    </comment>
  </commentList>
</comments>
</file>

<file path=xl/comments6.xml><?xml version="1.0" encoding="utf-8"?>
<comments xmlns="http://schemas.openxmlformats.org/spreadsheetml/2006/main">
  <authors>
    <author>徐霜</author>
  </authors>
  <commentList>
    <comment ref="C4" authorId="0">
      <text>
        <r>
          <rPr>
            <b/>
            <sz val="9"/>
            <rFont val="宋体"/>
            <charset val="134"/>
          </rPr>
          <t>徐霜</t>
        </r>
        <r>
          <rPr>
            <b/>
            <sz val="9"/>
            <rFont val="Tahoma"/>
            <charset val="134"/>
          </rPr>
          <t>:</t>
        </r>
        <r>
          <rPr>
            <sz val="9"/>
            <rFont val="Tahoma"/>
            <charset val="134"/>
          </rPr>
          <t xml:space="preserve">
</t>
        </r>
        <r>
          <rPr>
            <sz val="9"/>
            <rFont val="宋体"/>
            <charset val="134"/>
          </rPr>
          <t>预算调整数</t>
        </r>
      </text>
    </comment>
  </commentList>
</comments>
</file>

<file path=xl/comments7.xml><?xml version="1.0" encoding="utf-8"?>
<comments xmlns="http://schemas.openxmlformats.org/spreadsheetml/2006/main">
  <authors>
    <author>徐霜</author>
  </authors>
  <commentList>
    <comment ref="C4" authorId="0">
      <text>
        <r>
          <rPr>
            <b/>
            <sz val="9"/>
            <rFont val="宋体"/>
            <charset val="134"/>
          </rPr>
          <t>徐霜</t>
        </r>
        <r>
          <rPr>
            <b/>
            <sz val="9"/>
            <rFont val="Tahoma"/>
            <charset val="134"/>
          </rPr>
          <t>:</t>
        </r>
        <r>
          <rPr>
            <sz val="9"/>
            <rFont val="Tahoma"/>
            <charset val="134"/>
          </rPr>
          <t xml:space="preserve">
</t>
        </r>
        <r>
          <rPr>
            <sz val="9"/>
            <rFont val="宋体"/>
            <charset val="134"/>
          </rPr>
          <t>预算调整数</t>
        </r>
      </text>
    </comment>
  </commentList>
</comments>
</file>

<file path=xl/sharedStrings.xml><?xml version="1.0" encoding="utf-8"?>
<sst xmlns="http://schemas.openxmlformats.org/spreadsheetml/2006/main" count="853" uniqueCount="561">
  <si>
    <t>柳江区2023年预算执行和2024年预算草案</t>
  </si>
  <si>
    <t>表一  柳江区2023年一般公共预算收入执行情况和2024年一般公共预算收入预算表</t>
  </si>
  <si>
    <t>表二  柳江区2023年一般公共预算支出执行情况表</t>
  </si>
  <si>
    <t>表三  柳江区2023年一般公共预算收支执行情况及2024年一般公共预算收支预算表</t>
  </si>
  <si>
    <t>表四  柳江区2024年一般公共预算支出预算表</t>
  </si>
  <si>
    <t>表四  柳江区2024年一般公共预算支出预算表-本级支出
（分政府经济分类科目）</t>
  </si>
  <si>
    <t>表五  柳江区2023年政府性基金预算收支执行情况和2024年政府性基金收支预算表</t>
  </si>
  <si>
    <t>表五  柳江区2024年政府性基金支出预算表-本级项目明细</t>
  </si>
  <si>
    <t>表六  柳江区2023年国有资本经营预算收支执行情况和2024年国有资本经营收支预算表</t>
  </si>
  <si>
    <t>表七  柳江区2023年社会保险基金预算收支执行情况和2024年社会保险基金收支预算表</t>
  </si>
  <si>
    <t>柳州市柳江区财政局</t>
  </si>
  <si>
    <t>表一：柳江区2023年一般公共预算收入执行情况和2024年一般公共预算收入预算表</t>
  </si>
  <si>
    <t>金额单位：万元</t>
  </si>
  <si>
    <t>项目</t>
  </si>
  <si>
    <r>
      <rPr>
        <b/>
        <sz val="10"/>
        <rFont val="Times New Roman"/>
        <charset val="134"/>
      </rPr>
      <t>2022</t>
    </r>
    <r>
      <rPr>
        <b/>
        <sz val="10"/>
        <rFont val="文鼎书宋二"/>
        <charset val="134"/>
      </rPr>
      <t>年
决算数</t>
    </r>
  </si>
  <si>
    <r>
      <rPr>
        <b/>
        <sz val="10"/>
        <rFont val="Times New Roman"/>
        <charset val="134"/>
      </rPr>
      <t>2023</t>
    </r>
    <r>
      <rPr>
        <b/>
        <sz val="10"/>
        <rFont val="文鼎书宋二"/>
        <charset val="134"/>
      </rPr>
      <t>年收入执行情况</t>
    </r>
  </si>
  <si>
    <r>
      <rPr>
        <b/>
        <sz val="10"/>
        <rFont val="Times New Roman"/>
        <charset val="134"/>
      </rPr>
      <t>2024</t>
    </r>
    <r>
      <rPr>
        <b/>
        <sz val="10"/>
        <rFont val="宋体"/>
        <charset val="134"/>
      </rPr>
      <t>年收入预算情况</t>
    </r>
  </si>
  <si>
    <t>预算数</t>
  </si>
  <si>
    <t>执行数</t>
  </si>
  <si>
    <r>
      <rPr>
        <b/>
        <sz val="10"/>
        <rFont val="文鼎书宋二"/>
        <charset val="134"/>
      </rPr>
      <t>完成
预算</t>
    </r>
    <r>
      <rPr>
        <b/>
        <sz val="10"/>
        <rFont val="Times New Roman"/>
        <charset val="134"/>
      </rPr>
      <t>%</t>
    </r>
  </si>
  <si>
    <r>
      <rPr>
        <b/>
        <sz val="10"/>
        <rFont val="文鼎书宋二"/>
        <charset val="134"/>
      </rPr>
      <t xml:space="preserve">比上年
</t>
    </r>
    <r>
      <rPr>
        <b/>
        <sz val="10"/>
        <rFont val="Times New Roman"/>
        <charset val="134"/>
      </rPr>
      <t>+</t>
    </r>
    <r>
      <rPr>
        <b/>
        <sz val="10"/>
        <rFont val="文鼎书宋二"/>
        <charset val="134"/>
      </rPr>
      <t>、</t>
    </r>
    <r>
      <rPr>
        <b/>
        <sz val="10"/>
        <rFont val="Times New Roman"/>
        <charset val="134"/>
      </rPr>
      <t>-</t>
    </r>
    <r>
      <rPr>
        <b/>
        <sz val="10"/>
        <rFont val="文鼎书宋二"/>
        <charset val="134"/>
      </rPr>
      <t>（</t>
    </r>
    <r>
      <rPr>
        <b/>
        <sz val="10"/>
        <rFont val="Times New Roman"/>
        <charset val="134"/>
      </rPr>
      <t>%</t>
    </r>
    <r>
      <rPr>
        <b/>
        <sz val="10"/>
        <rFont val="文鼎书宋二"/>
        <charset val="134"/>
      </rPr>
      <t>）</t>
    </r>
  </si>
  <si>
    <r>
      <rPr>
        <sz val="10"/>
        <rFont val="Times New Roman"/>
        <charset val="134"/>
      </rPr>
      <t>1</t>
    </r>
    <r>
      <rPr>
        <sz val="10"/>
        <rFont val="文鼎书宋二"/>
        <charset val="134"/>
      </rPr>
      <t>、增值税（32%）</t>
    </r>
  </si>
  <si>
    <r>
      <rPr>
        <sz val="10"/>
        <rFont val="Times New Roman"/>
        <charset val="134"/>
      </rPr>
      <t>2</t>
    </r>
    <r>
      <rPr>
        <sz val="10"/>
        <rFont val="宋体"/>
        <charset val="134"/>
      </rPr>
      <t>、企业所得税（</t>
    </r>
    <r>
      <rPr>
        <sz val="10"/>
        <rFont val="Times New Roman"/>
        <charset val="134"/>
      </rPr>
      <t>30%</t>
    </r>
    <r>
      <rPr>
        <sz val="10"/>
        <rFont val="宋体"/>
        <charset val="134"/>
      </rPr>
      <t>）</t>
    </r>
  </si>
  <si>
    <r>
      <rPr>
        <sz val="10"/>
        <rFont val="Times New Roman"/>
        <charset val="134"/>
      </rPr>
      <t>3</t>
    </r>
    <r>
      <rPr>
        <sz val="10"/>
        <rFont val="宋体"/>
        <charset val="134"/>
      </rPr>
      <t>、个人所得税（</t>
    </r>
    <r>
      <rPr>
        <sz val="10"/>
        <rFont val="Times New Roman"/>
        <charset val="134"/>
      </rPr>
      <t>25%</t>
    </r>
    <r>
      <rPr>
        <sz val="10"/>
        <rFont val="宋体"/>
        <charset val="134"/>
      </rPr>
      <t>）</t>
    </r>
  </si>
  <si>
    <r>
      <rPr>
        <sz val="10"/>
        <rFont val="Times New Roman"/>
        <charset val="134"/>
      </rPr>
      <t>4</t>
    </r>
    <r>
      <rPr>
        <sz val="10"/>
        <rFont val="宋体"/>
        <charset val="134"/>
      </rPr>
      <t>、环境保护税（</t>
    </r>
    <r>
      <rPr>
        <sz val="10"/>
        <rFont val="Times New Roman"/>
        <charset val="134"/>
      </rPr>
      <t>70%</t>
    </r>
    <r>
      <rPr>
        <sz val="10"/>
        <rFont val="宋体"/>
        <charset val="134"/>
      </rPr>
      <t>）</t>
    </r>
  </si>
  <si>
    <r>
      <rPr>
        <sz val="10"/>
        <rFont val="Times New Roman"/>
        <charset val="134"/>
      </rPr>
      <t>5</t>
    </r>
    <r>
      <rPr>
        <sz val="10"/>
        <rFont val="文鼎书宋二"/>
        <charset val="134"/>
      </rPr>
      <t>、资源税</t>
    </r>
  </si>
  <si>
    <r>
      <rPr>
        <sz val="10"/>
        <rFont val="Times New Roman"/>
        <charset val="134"/>
      </rPr>
      <t>6</t>
    </r>
    <r>
      <rPr>
        <sz val="10"/>
        <rFont val="文鼎书宋二"/>
        <charset val="134"/>
      </rPr>
      <t>、城市维护建设税</t>
    </r>
  </si>
  <si>
    <r>
      <rPr>
        <sz val="10"/>
        <rFont val="Times New Roman"/>
        <charset val="134"/>
      </rPr>
      <t>7</t>
    </r>
    <r>
      <rPr>
        <sz val="10"/>
        <rFont val="文鼎书宋二"/>
        <charset val="134"/>
      </rPr>
      <t>、房产税</t>
    </r>
  </si>
  <si>
    <r>
      <rPr>
        <sz val="10"/>
        <rFont val="Times New Roman"/>
        <charset val="134"/>
      </rPr>
      <t>8</t>
    </r>
    <r>
      <rPr>
        <sz val="10"/>
        <rFont val="文鼎书宋二"/>
        <charset val="134"/>
      </rPr>
      <t>、印花税</t>
    </r>
  </si>
  <si>
    <r>
      <rPr>
        <sz val="10"/>
        <rFont val="Times New Roman"/>
        <charset val="134"/>
      </rPr>
      <t>9</t>
    </r>
    <r>
      <rPr>
        <sz val="10"/>
        <rFont val="文鼎书宋二"/>
        <charset val="134"/>
      </rPr>
      <t>、城镇土地使用税</t>
    </r>
  </si>
  <si>
    <r>
      <rPr>
        <sz val="10"/>
        <rFont val="Times New Roman"/>
        <charset val="134"/>
      </rPr>
      <t>10</t>
    </r>
    <r>
      <rPr>
        <sz val="10"/>
        <rFont val="文鼎书宋二"/>
        <charset val="134"/>
      </rPr>
      <t>、土地增值税</t>
    </r>
  </si>
  <si>
    <r>
      <rPr>
        <sz val="10"/>
        <rFont val="Times New Roman"/>
        <charset val="134"/>
      </rPr>
      <t>11</t>
    </r>
    <r>
      <rPr>
        <sz val="10"/>
        <rFont val="文鼎书宋二"/>
        <charset val="134"/>
      </rPr>
      <t>、车船税</t>
    </r>
  </si>
  <si>
    <r>
      <rPr>
        <sz val="10"/>
        <rFont val="Times New Roman"/>
        <charset val="134"/>
      </rPr>
      <t>12</t>
    </r>
    <r>
      <rPr>
        <sz val="10"/>
        <rFont val="文鼎书宋二"/>
        <charset val="134"/>
      </rPr>
      <t>、耕地占用税</t>
    </r>
  </si>
  <si>
    <r>
      <rPr>
        <sz val="10"/>
        <rFont val="Times New Roman"/>
        <charset val="134"/>
      </rPr>
      <t>13</t>
    </r>
    <r>
      <rPr>
        <sz val="10"/>
        <rFont val="文鼎书宋二"/>
        <charset val="134"/>
      </rPr>
      <t>、契税</t>
    </r>
  </si>
  <si>
    <r>
      <rPr>
        <sz val="10"/>
        <rFont val="Times New Roman"/>
        <charset val="134"/>
      </rPr>
      <t>14</t>
    </r>
    <r>
      <rPr>
        <sz val="10"/>
        <rFont val="文鼎书宋二"/>
        <charset val="134"/>
      </rPr>
      <t>、其他税收收入</t>
    </r>
  </si>
  <si>
    <r>
      <rPr>
        <sz val="10"/>
        <rFont val="Times New Roman"/>
        <charset val="134"/>
      </rPr>
      <t>15</t>
    </r>
    <r>
      <rPr>
        <sz val="10"/>
        <rFont val="文鼎书宋二"/>
        <charset val="134"/>
      </rPr>
      <t>、专项收入</t>
    </r>
  </si>
  <si>
    <r>
      <rPr>
        <sz val="10"/>
        <rFont val="宋体"/>
        <charset val="134"/>
      </rPr>
      <t>其中：</t>
    </r>
    <r>
      <rPr>
        <sz val="10"/>
        <rFont val="文鼎书宋二"/>
        <charset val="134"/>
      </rPr>
      <t>教育费附加</t>
    </r>
  </si>
  <si>
    <r>
      <rPr>
        <sz val="10"/>
        <color rgb="FF000000"/>
        <rFont val="Times New Roman"/>
        <charset val="134"/>
      </rPr>
      <t xml:space="preserve">           </t>
    </r>
    <r>
      <rPr>
        <sz val="10"/>
        <color indexed="8"/>
        <rFont val="宋体"/>
        <charset val="134"/>
      </rPr>
      <t>地方教育附加收入</t>
    </r>
    <r>
      <rPr>
        <sz val="10"/>
        <color indexed="8"/>
        <rFont val="Times New Roman"/>
        <charset val="134"/>
      </rPr>
      <t xml:space="preserve">   </t>
    </r>
  </si>
  <si>
    <r>
      <rPr>
        <sz val="10"/>
        <color rgb="FF000000"/>
        <rFont val="Times New Roman"/>
        <charset val="134"/>
      </rPr>
      <t xml:space="preserve">           </t>
    </r>
    <r>
      <rPr>
        <sz val="10"/>
        <color rgb="FF000000"/>
        <rFont val="宋体"/>
        <charset val="134"/>
      </rPr>
      <t>残疾人就业保障金收入</t>
    </r>
  </si>
  <si>
    <r>
      <rPr>
        <sz val="10"/>
        <color indexed="8"/>
        <rFont val="Times New Roman"/>
        <charset val="134"/>
      </rPr>
      <t xml:space="preserve">           </t>
    </r>
    <r>
      <rPr>
        <sz val="10"/>
        <color indexed="8"/>
        <rFont val="宋体"/>
        <charset val="134"/>
      </rPr>
      <t>森林植被恢复费</t>
    </r>
  </si>
  <si>
    <r>
      <rPr>
        <sz val="10"/>
        <color rgb="FF000000"/>
        <rFont val="Times New Roman"/>
        <charset val="134"/>
      </rPr>
      <t xml:space="preserve">           </t>
    </r>
    <r>
      <rPr>
        <sz val="10"/>
        <color rgb="FF000000"/>
        <rFont val="宋体"/>
        <charset val="134"/>
      </rPr>
      <t>水利建设专项收入</t>
    </r>
  </si>
  <si>
    <r>
      <rPr>
        <sz val="10"/>
        <color rgb="FF000000"/>
        <rFont val="Times New Roman"/>
        <charset val="134"/>
      </rPr>
      <t xml:space="preserve">           </t>
    </r>
    <r>
      <rPr>
        <sz val="10"/>
        <color rgb="FF000000"/>
        <rFont val="宋体"/>
        <charset val="134"/>
      </rPr>
      <t>其他专项收入</t>
    </r>
  </si>
  <si>
    <r>
      <rPr>
        <sz val="10"/>
        <rFont val="Times New Roman"/>
        <charset val="134"/>
      </rPr>
      <t>16</t>
    </r>
    <r>
      <rPr>
        <sz val="10"/>
        <rFont val="文鼎书宋二"/>
        <charset val="134"/>
      </rPr>
      <t>、行政事业性收费收入</t>
    </r>
  </si>
  <si>
    <r>
      <rPr>
        <sz val="10"/>
        <rFont val="Times New Roman"/>
        <charset val="134"/>
      </rPr>
      <t>17</t>
    </r>
    <r>
      <rPr>
        <sz val="10"/>
        <rFont val="文鼎书宋二"/>
        <charset val="134"/>
      </rPr>
      <t>、罚没收入</t>
    </r>
  </si>
  <si>
    <r>
      <rPr>
        <sz val="10"/>
        <rFont val="Times New Roman"/>
        <charset val="134"/>
      </rPr>
      <t>18</t>
    </r>
    <r>
      <rPr>
        <sz val="10"/>
        <rFont val="宋体"/>
        <charset val="134"/>
      </rPr>
      <t>、国有资源（资产）有偿使用收入</t>
    </r>
  </si>
  <si>
    <r>
      <rPr>
        <sz val="10"/>
        <color rgb="FF000000"/>
        <rFont val="Times New Roman"/>
        <charset val="134"/>
      </rPr>
      <t>19</t>
    </r>
    <r>
      <rPr>
        <sz val="10"/>
        <color indexed="8"/>
        <rFont val="宋体"/>
        <charset val="134"/>
      </rPr>
      <t>、捐赠收入</t>
    </r>
  </si>
  <si>
    <r>
      <rPr>
        <sz val="10"/>
        <color rgb="FF000000"/>
        <rFont val="Times New Roman"/>
        <charset val="134"/>
      </rPr>
      <t>20</t>
    </r>
    <r>
      <rPr>
        <sz val="10"/>
        <color indexed="8"/>
        <rFont val="宋体"/>
        <charset val="134"/>
      </rPr>
      <t>、政府住房基金收入</t>
    </r>
  </si>
  <si>
    <r>
      <rPr>
        <sz val="10"/>
        <rFont val="Times New Roman"/>
        <charset val="134"/>
      </rPr>
      <t>21</t>
    </r>
    <r>
      <rPr>
        <sz val="10"/>
        <rFont val="文鼎书宋二"/>
        <charset val="134"/>
      </rPr>
      <t>、其他收入</t>
    </r>
  </si>
  <si>
    <t>一般公共预算收入合计</t>
  </si>
  <si>
    <t>其中：税务部门收入</t>
  </si>
  <si>
    <r>
      <rPr>
        <sz val="10"/>
        <color theme="1"/>
        <rFont val="Times New Roman"/>
        <charset val="134"/>
      </rPr>
      <t xml:space="preserve">             </t>
    </r>
    <r>
      <rPr>
        <sz val="10"/>
        <color indexed="8"/>
        <rFont val="文鼎书宋二"/>
        <charset val="134"/>
      </rPr>
      <t>财政部门收入</t>
    </r>
  </si>
  <si>
    <t>税收收入</t>
  </si>
  <si>
    <t>非税收入</t>
  </si>
  <si>
    <t>税务部门</t>
  </si>
  <si>
    <t>表二：柳江区2023年一般公共预算支出执行情况表</t>
  </si>
  <si>
    <t>科目
代码</t>
  </si>
  <si>
    <t>预算科目</t>
  </si>
  <si>
    <r>
      <rPr>
        <b/>
        <sz val="10"/>
        <rFont val="Times New Roman"/>
        <charset val="134"/>
      </rPr>
      <t>2022</t>
    </r>
    <r>
      <rPr>
        <b/>
        <sz val="10"/>
        <rFont val="文鼎书宋二"/>
        <charset val="134"/>
      </rPr>
      <t xml:space="preserve">年
</t>
    </r>
    <r>
      <rPr>
        <b/>
        <sz val="10"/>
        <rFont val="宋体"/>
        <charset val="134"/>
      </rPr>
      <t>决算</t>
    </r>
    <r>
      <rPr>
        <b/>
        <sz val="10"/>
        <rFont val="文鼎书宋二"/>
        <charset val="134"/>
      </rPr>
      <t>数</t>
    </r>
  </si>
  <si>
    <r>
      <rPr>
        <b/>
        <sz val="10"/>
        <rFont val="Times New Roman"/>
        <charset val="134"/>
      </rPr>
      <t>2023</t>
    </r>
    <r>
      <rPr>
        <b/>
        <sz val="10"/>
        <rFont val="宋体"/>
        <charset val="134"/>
      </rPr>
      <t>年
预算数</t>
    </r>
  </si>
  <si>
    <r>
      <rPr>
        <b/>
        <sz val="10"/>
        <rFont val="Times New Roman"/>
        <charset val="134"/>
      </rPr>
      <t>2023</t>
    </r>
    <r>
      <rPr>
        <b/>
        <sz val="10"/>
        <rFont val="文鼎书宋二"/>
        <charset val="134"/>
      </rPr>
      <t xml:space="preserve">年
</t>
    </r>
    <r>
      <rPr>
        <b/>
        <sz val="10"/>
        <rFont val="宋体"/>
        <charset val="134"/>
      </rPr>
      <t>执行</t>
    </r>
    <r>
      <rPr>
        <b/>
        <sz val="10"/>
        <rFont val="文鼎书宋二"/>
        <charset val="134"/>
      </rPr>
      <t>数</t>
    </r>
  </si>
  <si>
    <t>备注</t>
  </si>
  <si>
    <t>变动大原因</t>
  </si>
  <si>
    <t>一般公共预算支出合计</t>
  </si>
  <si>
    <r>
      <rPr>
        <b/>
        <sz val="10"/>
        <rFont val="Times New Roman"/>
        <charset val="134"/>
      </rPr>
      <t>201</t>
    </r>
    <r>
      <rPr>
        <b/>
        <sz val="10"/>
        <rFont val="宋体"/>
        <charset val="134"/>
      </rPr>
      <t>类</t>
    </r>
  </si>
  <si>
    <t>一、一般公共服务支出</t>
  </si>
  <si>
    <t>人大事务</t>
  </si>
  <si>
    <t>政协事务</t>
  </si>
  <si>
    <r>
      <rPr>
        <sz val="10"/>
        <rFont val="宋体"/>
        <charset val="134"/>
      </rPr>
      <t>政府办公厅</t>
    </r>
    <r>
      <rPr>
        <sz val="10"/>
        <rFont val="Times New Roman"/>
        <charset val="134"/>
      </rPr>
      <t>(</t>
    </r>
    <r>
      <rPr>
        <sz val="10"/>
        <rFont val="宋体"/>
        <charset val="134"/>
      </rPr>
      <t>室</t>
    </r>
    <r>
      <rPr>
        <sz val="10"/>
        <rFont val="Times New Roman"/>
        <charset val="134"/>
      </rPr>
      <t>)</t>
    </r>
    <r>
      <rPr>
        <sz val="10"/>
        <rFont val="宋体"/>
        <charset val="134"/>
      </rPr>
      <t>及相关机构事务</t>
    </r>
  </si>
  <si>
    <t>发展与改革事务</t>
  </si>
  <si>
    <t>统计信息事务</t>
  </si>
  <si>
    <t>财政事务</t>
  </si>
  <si>
    <t>税收事务</t>
  </si>
  <si>
    <t>审计事务</t>
  </si>
  <si>
    <t>纪检监察事务</t>
  </si>
  <si>
    <t>商贸事务</t>
  </si>
  <si>
    <t>知识产权事务</t>
  </si>
  <si>
    <t>民族事务</t>
  </si>
  <si>
    <t>港澳台侨事务</t>
  </si>
  <si>
    <t>档案事务</t>
  </si>
  <si>
    <t>民主党派及工商联事务</t>
  </si>
  <si>
    <t>群众团体事务</t>
  </si>
  <si>
    <t>党委办公厅（室）及相关机构事务</t>
  </si>
  <si>
    <t>组织事务</t>
  </si>
  <si>
    <t>宣传事务</t>
  </si>
  <si>
    <t>统战事务</t>
  </si>
  <si>
    <t>其他共产党事务支出</t>
  </si>
  <si>
    <t>市场监督管理事务</t>
  </si>
  <si>
    <t>其他一般公共服务支出</t>
  </si>
  <si>
    <r>
      <rPr>
        <b/>
        <sz val="10"/>
        <rFont val="Times New Roman"/>
        <charset val="134"/>
      </rPr>
      <t>203</t>
    </r>
    <r>
      <rPr>
        <b/>
        <sz val="10"/>
        <rFont val="宋体"/>
        <charset val="134"/>
      </rPr>
      <t>类</t>
    </r>
  </si>
  <si>
    <t>二、国防支出</t>
  </si>
  <si>
    <t>国防动员</t>
  </si>
  <si>
    <r>
      <rPr>
        <b/>
        <sz val="10"/>
        <rFont val="Times New Roman"/>
        <charset val="134"/>
      </rPr>
      <t>204</t>
    </r>
    <r>
      <rPr>
        <b/>
        <sz val="10"/>
        <rFont val="宋体"/>
        <charset val="134"/>
      </rPr>
      <t>类</t>
    </r>
  </si>
  <si>
    <t>三、公共安全支出</t>
  </si>
  <si>
    <t>武装警察部队</t>
  </si>
  <si>
    <t>公安</t>
  </si>
  <si>
    <t>检察</t>
  </si>
  <si>
    <t>法院</t>
  </si>
  <si>
    <t>司法</t>
  </si>
  <si>
    <t>其他公共安全支出</t>
  </si>
  <si>
    <r>
      <rPr>
        <b/>
        <sz val="10"/>
        <rFont val="Times New Roman"/>
        <charset val="134"/>
      </rPr>
      <t>205</t>
    </r>
    <r>
      <rPr>
        <b/>
        <sz val="10"/>
        <rFont val="宋体"/>
        <charset val="134"/>
      </rPr>
      <t>类</t>
    </r>
  </si>
  <si>
    <t>四、教育支出</t>
  </si>
  <si>
    <t>民生</t>
  </si>
  <si>
    <t>教育管理事务</t>
  </si>
  <si>
    <t>普通教育</t>
  </si>
  <si>
    <t>职业教育</t>
  </si>
  <si>
    <t>特殊教育</t>
  </si>
  <si>
    <t>进修及培训</t>
  </si>
  <si>
    <t>教育费附加安排的支出</t>
  </si>
  <si>
    <t>其他教育支出</t>
  </si>
  <si>
    <r>
      <rPr>
        <b/>
        <sz val="10"/>
        <rFont val="Times New Roman"/>
        <charset val="134"/>
      </rPr>
      <t>206</t>
    </r>
    <r>
      <rPr>
        <b/>
        <sz val="10"/>
        <rFont val="宋体"/>
        <charset val="134"/>
      </rPr>
      <t>类</t>
    </r>
  </si>
  <si>
    <t>五、科学技术支出</t>
  </si>
  <si>
    <t>科学技术管理事务</t>
  </si>
  <si>
    <t>应用研究</t>
  </si>
  <si>
    <t>技术研究与开发</t>
  </si>
  <si>
    <t>科学技术普及</t>
  </si>
  <si>
    <t>其他科学技术支出</t>
  </si>
  <si>
    <r>
      <rPr>
        <b/>
        <sz val="10"/>
        <rFont val="Times New Roman"/>
        <charset val="134"/>
      </rPr>
      <t>207</t>
    </r>
    <r>
      <rPr>
        <b/>
        <sz val="10"/>
        <rFont val="宋体"/>
        <charset val="134"/>
      </rPr>
      <t>类</t>
    </r>
  </si>
  <si>
    <t>六、文化旅游体育与传媒支出</t>
  </si>
  <si>
    <t>文化和旅游</t>
  </si>
  <si>
    <t>文物</t>
  </si>
  <si>
    <t>体育</t>
  </si>
  <si>
    <t>新闻出版电影</t>
  </si>
  <si>
    <t>广播电视</t>
  </si>
  <si>
    <t>其他文化旅游体育与传媒支出</t>
  </si>
  <si>
    <r>
      <rPr>
        <b/>
        <sz val="10"/>
        <rFont val="Times New Roman"/>
        <charset val="134"/>
      </rPr>
      <t>208</t>
    </r>
    <r>
      <rPr>
        <b/>
        <sz val="10"/>
        <rFont val="宋体"/>
        <charset val="134"/>
      </rPr>
      <t>类</t>
    </r>
  </si>
  <si>
    <t>七、社会保障和就业支出</t>
  </si>
  <si>
    <t>人力资源和社会保障管理事务</t>
  </si>
  <si>
    <t>民政管理事务</t>
  </si>
  <si>
    <t>行政事业单位养老支出</t>
  </si>
  <si>
    <t>企业改革补助</t>
  </si>
  <si>
    <t>就业补助</t>
  </si>
  <si>
    <t>抚恤</t>
  </si>
  <si>
    <t>退役安置</t>
  </si>
  <si>
    <t>社会福利</t>
  </si>
  <si>
    <t>残疾人事业</t>
  </si>
  <si>
    <t>红十字事业</t>
  </si>
  <si>
    <t>最低生活保障</t>
  </si>
  <si>
    <t>临时救助</t>
  </si>
  <si>
    <t>特困人员救助供养</t>
  </si>
  <si>
    <t>其他生活救助</t>
  </si>
  <si>
    <t>财政对基本养老保险基金的补助</t>
  </si>
  <si>
    <t>退役军人管理事务</t>
  </si>
  <si>
    <t>财政代缴社会保险费支出</t>
  </si>
  <si>
    <t>其他社会保障和就业支出</t>
  </si>
  <si>
    <r>
      <rPr>
        <b/>
        <sz val="10"/>
        <rFont val="Times New Roman"/>
        <charset val="134"/>
      </rPr>
      <t>210</t>
    </r>
    <r>
      <rPr>
        <b/>
        <sz val="10"/>
        <rFont val="宋体"/>
        <charset val="134"/>
      </rPr>
      <t>类</t>
    </r>
  </si>
  <si>
    <t>八、卫生健康支出</t>
  </si>
  <si>
    <t>卫生健康管理事务</t>
  </si>
  <si>
    <t>公立医院</t>
  </si>
  <si>
    <t>基层医疗卫生机构</t>
  </si>
  <si>
    <t>公共卫生</t>
  </si>
  <si>
    <t>中医药</t>
  </si>
  <si>
    <t>计划生育事务</t>
  </si>
  <si>
    <t>行政事业单位医疗</t>
  </si>
  <si>
    <t>财政对基本医疗保险基金的补助</t>
  </si>
  <si>
    <t>医疗救助</t>
  </si>
  <si>
    <t>优抚对象医疗</t>
  </si>
  <si>
    <t>医疗保障管理事务</t>
  </si>
  <si>
    <t>其他卫生健康支出</t>
  </si>
  <si>
    <r>
      <rPr>
        <b/>
        <sz val="10"/>
        <rFont val="Times New Roman"/>
        <charset val="134"/>
      </rPr>
      <t>211</t>
    </r>
    <r>
      <rPr>
        <b/>
        <sz val="10"/>
        <rFont val="宋体"/>
        <charset val="134"/>
      </rPr>
      <t>类</t>
    </r>
  </si>
  <si>
    <t>九、节能环保支出</t>
  </si>
  <si>
    <t>环境保护管理事务</t>
  </si>
  <si>
    <t>环境监测与监察</t>
  </si>
  <si>
    <t>污染防治</t>
  </si>
  <si>
    <t>自然生态保护</t>
  </si>
  <si>
    <t>天然林保护</t>
  </si>
  <si>
    <t>能源节约利用</t>
  </si>
  <si>
    <t>污染减排</t>
  </si>
  <si>
    <t>可再生能源</t>
  </si>
  <si>
    <t>循环经济</t>
  </si>
  <si>
    <t>其他节能环保支出</t>
  </si>
  <si>
    <r>
      <rPr>
        <b/>
        <sz val="10"/>
        <rFont val="Times New Roman"/>
        <charset val="134"/>
      </rPr>
      <t>212</t>
    </r>
    <r>
      <rPr>
        <b/>
        <sz val="10"/>
        <rFont val="宋体"/>
        <charset val="134"/>
      </rPr>
      <t>类</t>
    </r>
  </si>
  <si>
    <t>十、城乡社区支出</t>
  </si>
  <si>
    <t>城乡社区管理事务</t>
  </si>
  <si>
    <t>城乡社区规划与管理</t>
  </si>
  <si>
    <t>城市社区公共设施</t>
  </si>
  <si>
    <t>城乡社区环境卫生</t>
  </si>
  <si>
    <t>其他城乡社区支出</t>
  </si>
  <si>
    <r>
      <rPr>
        <b/>
        <sz val="10"/>
        <rFont val="Times New Roman"/>
        <charset val="134"/>
      </rPr>
      <t>213</t>
    </r>
    <r>
      <rPr>
        <b/>
        <sz val="10"/>
        <rFont val="宋体"/>
        <charset val="134"/>
      </rPr>
      <t>类</t>
    </r>
  </si>
  <si>
    <t>十一、农林水支出</t>
  </si>
  <si>
    <t>农业农村</t>
  </si>
  <si>
    <t>林业和草原</t>
  </si>
  <si>
    <t>水利</t>
  </si>
  <si>
    <t>巩固脱贫攻坚成果衔接乡村振兴</t>
  </si>
  <si>
    <t>农村综合改革</t>
  </si>
  <si>
    <t>普惠金融发展支出</t>
  </si>
  <si>
    <t>目标价格补贴</t>
  </si>
  <si>
    <t>其他农林水支出</t>
  </si>
  <si>
    <r>
      <rPr>
        <b/>
        <sz val="10"/>
        <rFont val="Times New Roman"/>
        <charset val="134"/>
      </rPr>
      <t>214</t>
    </r>
    <r>
      <rPr>
        <b/>
        <sz val="10"/>
        <rFont val="宋体"/>
        <charset val="134"/>
      </rPr>
      <t>类</t>
    </r>
  </si>
  <si>
    <t>十二、交通运输支出</t>
  </si>
  <si>
    <t>公路水路运输</t>
  </si>
  <si>
    <t>车辆购置税支出</t>
  </si>
  <si>
    <t>其他交通运输支出</t>
  </si>
  <si>
    <r>
      <rPr>
        <b/>
        <sz val="10"/>
        <rFont val="Times New Roman"/>
        <charset val="134"/>
      </rPr>
      <t>215</t>
    </r>
    <r>
      <rPr>
        <b/>
        <sz val="10"/>
        <rFont val="宋体"/>
        <charset val="134"/>
      </rPr>
      <t>类</t>
    </r>
  </si>
  <si>
    <t>十三、资源勘探工业信息等支出</t>
  </si>
  <si>
    <t>制造业</t>
  </si>
  <si>
    <t>工业和信息产业监管</t>
  </si>
  <si>
    <t>支持中小企业发展和管理支出</t>
  </si>
  <si>
    <t>其他资源勘探工业信息等支出</t>
  </si>
  <si>
    <r>
      <rPr>
        <b/>
        <sz val="10"/>
        <rFont val="Times New Roman"/>
        <charset val="134"/>
      </rPr>
      <t>216</t>
    </r>
    <r>
      <rPr>
        <b/>
        <sz val="10"/>
        <rFont val="宋体"/>
        <charset val="134"/>
      </rPr>
      <t>类</t>
    </r>
  </si>
  <si>
    <t>十四、商业服务业等支出</t>
  </si>
  <si>
    <t>商业流通事务</t>
  </si>
  <si>
    <t>涉外发展服务支出</t>
  </si>
  <si>
    <t>其他商业服务业等支出</t>
  </si>
  <si>
    <r>
      <rPr>
        <b/>
        <sz val="10"/>
        <rFont val="Times New Roman"/>
        <charset val="134"/>
      </rPr>
      <t>217</t>
    </r>
    <r>
      <rPr>
        <b/>
        <sz val="10"/>
        <rFont val="宋体"/>
        <charset val="134"/>
      </rPr>
      <t>类</t>
    </r>
  </si>
  <si>
    <t>十五、金融支出</t>
  </si>
  <si>
    <t>金融发展支出</t>
  </si>
  <si>
    <t>其他金融支出</t>
  </si>
  <si>
    <r>
      <rPr>
        <b/>
        <sz val="10"/>
        <rFont val="Times New Roman"/>
        <charset val="134"/>
      </rPr>
      <t>220</t>
    </r>
    <r>
      <rPr>
        <b/>
        <sz val="10"/>
        <rFont val="宋体"/>
        <charset val="134"/>
      </rPr>
      <t>类</t>
    </r>
  </si>
  <si>
    <t>十六、自然资源海洋气象等支出</t>
  </si>
  <si>
    <t>自然资源事务</t>
  </si>
  <si>
    <t>气象事务</t>
  </si>
  <si>
    <r>
      <rPr>
        <b/>
        <sz val="10"/>
        <rFont val="Times New Roman"/>
        <charset val="134"/>
      </rPr>
      <t>221</t>
    </r>
    <r>
      <rPr>
        <b/>
        <sz val="10"/>
        <rFont val="宋体"/>
        <charset val="134"/>
      </rPr>
      <t>类</t>
    </r>
  </si>
  <si>
    <t>十七、住房保障支出</t>
  </si>
  <si>
    <t>保障性安居工程支出</t>
  </si>
  <si>
    <t>住房改革支出</t>
  </si>
  <si>
    <t>城乡社区住宅</t>
  </si>
  <si>
    <r>
      <rPr>
        <b/>
        <sz val="10"/>
        <rFont val="Times New Roman"/>
        <charset val="134"/>
      </rPr>
      <t>222</t>
    </r>
    <r>
      <rPr>
        <b/>
        <sz val="10"/>
        <rFont val="宋体"/>
        <charset val="134"/>
      </rPr>
      <t>类</t>
    </r>
  </si>
  <si>
    <t>十八、粮油物资储备支出</t>
  </si>
  <si>
    <t>粮油物资事务</t>
  </si>
  <si>
    <t>粮油储备</t>
  </si>
  <si>
    <r>
      <rPr>
        <b/>
        <sz val="10"/>
        <rFont val="Times New Roman"/>
        <charset val="134"/>
      </rPr>
      <t>224</t>
    </r>
    <r>
      <rPr>
        <b/>
        <sz val="10"/>
        <rFont val="宋体"/>
        <charset val="134"/>
      </rPr>
      <t>类</t>
    </r>
  </si>
  <si>
    <t>十九、灾害防治及应急管理支出</t>
  </si>
  <si>
    <t>应急管理事务</t>
  </si>
  <si>
    <t>消防救援事务</t>
  </si>
  <si>
    <t>森林消防事务</t>
  </si>
  <si>
    <t>地震事务</t>
  </si>
  <si>
    <t>自然灾害防治</t>
  </si>
  <si>
    <t>自然灾害救灾及恢复重建支出</t>
  </si>
  <si>
    <t>其他灾害防治及应急管理支出</t>
  </si>
  <si>
    <r>
      <rPr>
        <b/>
        <sz val="10"/>
        <rFont val="Times New Roman"/>
        <charset val="134"/>
      </rPr>
      <t>227</t>
    </r>
    <r>
      <rPr>
        <b/>
        <sz val="10"/>
        <rFont val="宋体"/>
        <charset val="134"/>
      </rPr>
      <t>类</t>
    </r>
  </si>
  <si>
    <t>二十、预备费</t>
  </si>
  <si>
    <r>
      <rPr>
        <b/>
        <sz val="10"/>
        <rFont val="Times New Roman"/>
        <charset val="134"/>
      </rPr>
      <t>229</t>
    </r>
    <r>
      <rPr>
        <b/>
        <sz val="10"/>
        <rFont val="宋体"/>
        <charset val="134"/>
      </rPr>
      <t>类</t>
    </r>
  </si>
  <si>
    <t>二十一、其他支出</t>
  </si>
  <si>
    <t>年初预留</t>
  </si>
  <si>
    <t>其他支出</t>
  </si>
  <si>
    <r>
      <rPr>
        <b/>
        <sz val="10"/>
        <rFont val="Times New Roman"/>
        <charset val="134"/>
      </rPr>
      <t>232</t>
    </r>
    <r>
      <rPr>
        <b/>
        <sz val="10"/>
        <rFont val="宋体"/>
        <charset val="134"/>
      </rPr>
      <t>类</t>
    </r>
  </si>
  <si>
    <t>二十二、债务付息支出</t>
  </si>
  <si>
    <t>地方政府一般债务付息支出</t>
  </si>
  <si>
    <r>
      <rPr>
        <b/>
        <sz val="10"/>
        <rFont val="Times New Roman"/>
        <charset val="134"/>
      </rPr>
      <t>233</t>
    </r>
    <r>
      <rPr>
        <b/>
        <sz val="10"/>
        <rFont val="宋体"/>
        <charset val="134"/>
      </rPr>
      <t>类</t>
    </r>
  </si>
  <si>
    <t>二十三、债务发行费用支出</t>
  </si>
  <si>
    <t>地方政府一般债务发行费用支出</t>
  </si>
  <si>
    <t>表三:柳江区2023年一般公共预算收支执行情况及2024年一般公共预算收支预算表</t>
  </si>
  <si>
    <r>
      <rPr>
        <b/>
        <sz val="10"/>
        <rFont val="Times New Roman"/>
        <charset val="134"/>
      </rPr>
      <t>2023</t>
    </r>
    <r>
      <rPr>
        <b/>
        <sz val="10"/>
        <rFont val="宋体"/>
        <charset val="134"/>
      </rPr>
      <t>年收支执行情况</t>
    </r>
  </si>
  <si>
    <r>
      <rPr>
        <b/>
        <sz val="10"/>
        <rFont val="Times New Roman"/>
        <charset val="134"/>
      </rPr>
      <t>2024</t>
    </r>
    <r>
      <rPr>
        <b/>
        <sz val="10"/>
        <rFont val="宋体"/>
        <charset val="134"/>
      </rPr>
      <t>年收支预算情况</t>
    </r>
  </si>
  <si>
    <r>
      <rPr>
        <b/>
        <sz val="10"/>
        <rFont val="文鼎书宋二"/>
        <charset val="134"/>
      </rPr>
      <t>完成预算（</t>
    </r>
    <r>
      <rPr>
        <b/>
        <sz val="10"/>
        <rFont val="Times New Roman"/>
        <charset val="134"/>
      </rPr>
      <t>%</t>
    </r>
    <r>
      <rPr>
        <b/>
        <sz val="10"/>
        <rFont val="文鼎书宋二"/>
        <charset val="134"/>
      </rPr>
      <t>）</t>
    </r>
  </si>
  <si>
    <r>
      <rPr>
        <b/>
        <sz val="10"/>
        <rFont val="文鼎书宋二"/>
        <charset val="134"/>
      </rPr>
      <t>比上年</t>
    </r>
    <r>
      <rPr>
        <b/>
        <sz val="10"/>
        <rFont val="Times New Roman"/>
        <charset val="134"/>
      </rPr>
      <t xml:space="preserve">
 +</t>
    </r>
    <r>
      <rPr>
        <b/>
        <sz val="10"/>
        <rFont val="文鼎书宋二"/>
        <charset val="134"/>
      </rPr>
      <t>、</t>
    </r>
    <r>
      <rPr>
        <b/>
        <sz val="10"/>
        <rFont val="Times New Roman"/>
        <charset val="134"/>
      </rPr>
      <t>-</t>
    </r>
    <r>
      <rPr>
        <b/>
        <sz val="10"/>
        <rFont val="文鼎书宋二"/>
        <charset val="134"/>
      </rPr>
      <t>（</t>
    </r>
    <r>
      <rPr>
        <b/>
        <sz val="10"/>
        <rFont val="Times New Roman"/>
        <charset val="134"/>
      </rPr>
      <t>%</t>
    </r>
    <r>
      <rPr>
        <b/>
        <sz val="10"/>
        <rFont val="文鼎书宋二"/>
        <charset val="134"/>
      </rPr>
      <t>）</t>
    </r>
  </si>
  <si>
    <r>
      <rPr>
        <b/>
        <sz val="10"/>
        <rFont val="文鼎书宋二"/>
        <charset val="134"/>
      </rPr>
      <t>一、</t>
    </r>
    <r>
      <rPr>
        <b/>
        <sz val="10"/>
        <rFont val="Times New Roman"/>
        <charset val="134"/>
      </rPr>
      <t xml:space="preserve"> </t>
    </r>
    <r>
      <rPr>
        <b/>
        <sz val="10"/>
        <rFont val="文鼎书宋二"/>
        <charset val="134"/>
      </rPr>
      <t>一般公共预算收入</t>
    </r>
  </si>
  <si>
    <t>1、税收收入</t>
  </si>
  <si>
    <t>2、非税收入</t>
  </si>
  <si>
    <t>二、上级财力性补助收入</t>
  </si>
  <si>
    <r>
      <rPr>
        <sz val="10"/>
        <rFont val="Times New Roman"/>
        <charset val="134"/>
      </rPr>
      <t>1</t>
    </r>
    <r>
      <rPr>
        <sz val="10"/>
        <rFont val="宋体"/>
        <charset val="134"/>
      </rPr>
      <t>、所得税基数返还收入</t>
    </r>
  </si>
  <si>
    <r>
      <rPr>
        <sz val="10"/>
        <rFont val="Times New Roman"/>
        <charset val="134"/>
      </rPr>
      <t>2</t>
    </r>
    <r>
      <rPr>
        <sz val="10"/>
        <rFont val="宋体"/>
        <charset val="134"/>
      </rPr>
      <t>、成品油税费改革税收返还收入</t>
    </r>
  </si>
  <si>
    <r>
      <rPr>
        <sz val="10"/>
        <rFont val="Times New Roman"/>
        <charset val="134"/>
      </rPr>
      <t>3</t>
    </r>
    <r>
      <rPr>
        <sz val="10"/>
        <rFont val="宋体"/>
        <charset val="134"/>
      </rPr>
      <t>、</t>
    </r>
    <r>
      <rPr>
        <sz val="10"/>
        <rFont val="Times New Roman"/>
        <charset val="134"/>
      </rPr>
      <t>"</t>
    </r>
    <r>
      <rPr>
        <sz val="10"/>
        <rFont val="宋体"/>
        <charset val="134"/>
      </rPr>
      <t>两税</t>
    </r>
    <r>
      <rPr>
        <sz val="10"/>
        <rFont val="Times New Roman"/>
        <charset val="134"/>
      </rPr>
      <t>"</t>
    </r>
    <r>
      <rPr>
        <sz val="10"/>
        <rFont val="宋体"/>
        <charset val="134"/>
      </rPr>
      <t>返还收入</t>
    </r>
  </si>
  <si>
    <r>
      <rPr>
        <sz val="10"/>
        <rFont val="Times New Roman"/>
        <charset val="134"/>
      </rPr>
      <t>4</t>
    </r>
    <r>
      <rPr>
        <sz val="10"/>
        <rFont val="宋体"/>
        <charset val="134"/>
      </rPr>
      <t>、其他税收返还收入</t>
    </r>
  </si>
  <si>
    <r>
      <rPr>
        <sz val="10"/>
        <rFont val="Times New Roman"/>
        <charset val="134"/>
      </rPr>
      <t>5</t>
    </r>
    <r>
      <rPr>
        <sz val="10"/>
        <rFont val="宋体"/>
        <charset val="134"/>
      </rPr>
      <t>、体制补助收入</t>
    </r>
  </si>
  <si>
    <r>
      <rPr>
        <sz val="10"/>
        <rFont val="Times New Roman"/>
        <charset val="134"/>
      </rPr>
      <t>6</t>
    </r>
    <r>
      <rPr>
        <sz val="10"/>
        <rFont val="宋体"/>
        <charset val="134"/>
      </rPr>
      <t>、均衡性转移支付收入</t>
    </r>
  </si>
  <si>
    <r>
      <rPr>
        <sz val="10"/>
        <rFont val="Times New Roman"/>
        <charset val="134"/>
      </rPr>
      <t>7</t>
    </r>
    <r>
      <rPr>
        <sz val="10"/>
        <rFont val="宋体"/>
        <charset val="134"/>
      </rPr>
      <t>、县级基本财力保障机制奖补资金收入</t>
    </r>
  </si>
  <si>
    <t>12.29收到821万</t>
  </si>
  <si>
    <r>
      <rPr>
        <sz val="10"/>
        <rFont val="Times New Roman"/>
        <charset val="134"/>
      </rPr>
      <t xml:space="preserve"> 8</t>
    </r>
    <r>
      <rPr>
        <sz val="10"/>
        <rFont val="宋体"/>
        <charset val="134"/>
      </rPr>
      <t>、结算补助收入</t>
    </r>
  </si>
  <si>
    <r>
      <rPr>
        <sz val="10"/>
        <rFont val="Times New Roman"/>
        <charset val="134"/>
      </rPr>
      <t xml:space="preserve"> 9</t>
    </r>
    <r>
      <rPr>
        <sz val="10"/>
        <rFont val="宋体"/>
        <charset val="134"/>
      </rPr>
      <t>、固定数额补助收入</t>
    </r>
  </si>
  <si>
    <r>
      <rPr>
        <sz val="10"/>
        <rFont val="Times New Roman"/>
        <charset val="134"/>
      </rPr>
      <t>10</t>
    </r>
    <r>
      <rPr>
        <sz val="10"/>
        <rFont val="宋体"/>
        <charset val="134"/>
      </rPr>
      <t>、民族地区转移支付收入</t>
    </r>
  </si>
  <si>
    <t>11、增值税留抵退税转移支付收入</t>
  </si>
  <si>
    <r>
      <rPr>
        <sz val="10"/>
        <rFont val="Times New Roman"/>
        <charset val="134"/>
      </rPr>
      <t>12</t>
    </r>
    <r>
      <rPr>
        <sz val="10"/>
        <rFont val="宋体"/>
        <charset val="134"/>
      </rPr>
      <t>、补充县区财力转移支付收入</t>
    </r>
  </si>
  <si>
    <r>
      <rPr>
        <sz val="10"/>
        <rFont val="Times New Roman"/>
        <charset val="134"/>
      </rPr>
      <t>13</t>
    </r>
    <r>
      <rPr>
        <sz val="10"/>
        <rFont val="宋体"/>
        <charset val="134"/>
      </rPr>
      <t>、其他退税减税降费转移支付收入</t>
    </r>
  </si>
  <si>
    <r>
      <rPr>
        <sz val="10"/>
        <rFont val="Times New Roman"/>
        <charset val="134"/>
      </rPr>
      <t>14</t>
    </r>
    <r>
      <rPr>
        <sz val="10"/>
        <rFont val="宋体"/>
        <charset val="134"/>
      </rPr>
      <t>、其他一般性转移支付收入</t>
    </r>
  </si>
  <si>
    <r>
      <rPr>
        <sz val="10"/>
        <rFont val="Times New Roman"/>
        <charset val="134"/>
      </rPr>
      <t>15</t>
    </r>
    <r>
      <rPr>
        <sz val="10"/>
        <rFont val="宋体"/>
        <charset val="134"/>
      </rPr>
      <t>、市级财力性转移支付收入</t>
    </r>
  </si>
  <si>
    <t>三、上级专项补助收入</t>
  </si>
  <si>
    <t>2024年预算数为上级提前下达专项资金。</t>
  </si>
  <si>
    <r>
      <rPr>
        <sz val="10"/>
        <rFont val="Times New Roman"/>
        <charset val="134"/>
      </rPr>
      <t>1</t>
    </r>
    <r>
      <rPr>
        <sz val="10"/>
        <rFont val="文鼎书宋二"/>
        <charset val="134"/>
      </rPr>
      <t>、中央、自治区补助收入</t>
    </r>
  </si>
  <si>
    <r>
      <rPr>
        <sz val="10"/>
        <rFont val="Times New Roman"/>
        <charset val="134"/>
      </rPr>
      <t>2</t>
    </r>
    <r>
      <rPr>
        <sz val="10"/>
        <rFont val="文鼎书宋二"/>
        <charset val="134"/>
      </rPr>
      <t>、市级补助收入</t>
    </r>
  </si>
  <si>
    <t>四、地方政府一般债务转贷收入</t>
  </si>
  <si>
    <t>五、上年结余收入（专项结转）</t>
  </si>
  <si>
    <t>六、调入资金</t>
  </si>
  <si>
    <t>七、动用预算稳定调节基金</t>
  </si>
  <si>
    <t>收入总计</t>
  </si>
  <si>
    <t>其中：当年总收入</t>
  </si>
  <si>
    <t>一、一般公共预算支出</t>
  </si>
  <si>
    <t>二、上解支出</t>
  </si>
  <si>
    <t>三、地方政府一般债务还本支出</t>
  </si>
  <si>
    <t>四、安排预算稳定调节基金</t>
  </si>
  <si>
    <t>不调入，净结余7659</t>
  </si>
  <si>
    <t>五、年终结余（专项结余）</t>
  </si>
  <si>
    <t>支出总计</t>
  </si>
  <si>
    <t>其中：当年总支出</t>
  </si>
  <si>
    <t>表四：柳江区2024年一般公共预算支出预算表</t>
  </si>
  <si>
    <r>
      <rPr>
        <b/>
        <sz val="10"/>
        <rFont val="Times New Roman"/>
        <charset val="134"/>
      </rPr>
      <t>2023</t>
    </r>
    <r>
      <rPr>
        <b/>
        <sz val="10"/>
        <rFont val="宋体"/>
        <charset val="134"/>
      </rPr>
      <t>年年初预算数</t>
    </r>
  </si>
  <si>
    <r>
      <rPr>
        <b/>
        <sz val="10"/>
        <rFont val="Times New Roman"/>
        <charset val="134"/>
      </rPr>
      <t>2024</t>
    </r>
    <r>
      <rPr>
        <b/>
        <sz val="10"/>
        <rFont val="宋体"/>
        <charset val="134"/>
      </rPr>
      <t>年年初预算数</t>
    </r>
  </si>
  <si>
    <r>
      <rPr>
        <b/>
        <sz val="10"/>
        <rFont val="文鼎书宋二"/>
        <charset val="134"/>
      </rPr>
      <t xml:space="preserve">比上年
</t>
    </r>
    <r>
      <rPr>
        <b/>
        <sz val="10"/>
        <rFont val="Times New Roman"/>
        <charset val="134"/>
      </rPr>
      <t>+</t>
    </r>
    <r>
      <rPr>
        <b/>
        <sz val="10"/>
        <rFont val="文鼎书宋二"/>
        <charset val="134"/>
      </rPr>
      <t>、</t>
    </r>
    <r>
      <rPr>
        <b/>
        <sz val="10"/>
        <rFont val="Times New Roman"/>
        <charset val="134"/>
      </rPr>
      <t>-</t>
    </r>
    <r>
      <rPr>
        <b/>
        <sz val="10"/>
        <rFont val="宋体"/>
        <charset val="134"/>
      </rPr>
      <t>（</t>
    </r>
    <r>
      <rPr>
        <b/>
        <sz val="10"/>
        <rFont val="Times New Roman"/>
        <charset val="134"/>
      </rPr>
      <t>%</t>
    </r>
    <r>
      <rPr>
        <b/>
        <sz val="10"/>
        <rFont val="宋体"/>
        <charset val="134"/>
      </rPr>
      <t>）</t>
    </r>
  </si>
  <si>
    <t>本级项目明细</t>
  </si>
  <si>
    <t>小 计</t>
  </si>
  <si>
    <t>本级支出</t>
  </si>
  <si>
    <t>上级专项支出</t>
  </si>
  <si>
    <t>基本支出</t>
  </si>
  <si>
    <t>项目支出</t>
  </si>
  <si>
    <t>上年专项
结转支出</t>
  </si>
  <si>
    <t>提前下达
专项支出</t>
  </si>
  <si>
    <t>实际安排支出</t>
  </si>
  <si>
    <t>系统数</t>
  </si>
  <si>
    <t>差异</t>
  </si>
  <si>
    <t>项目支出：人大办：老干部活动经费3万元；年度人大会议经费35万元；区人大代表活动经费47.2万元；人大常委会会议经费2.7万元；镇人大代表活动经费67.9万元。</t>
  </si>
  <si>
    <t>项目支出：政协办：退休干部活动经费2万元；政协例会28万元；政协委员活动经费36.8万元。</t>
  </si>
  <si>
    <t>项目支出：1、政府办：政府常务会、政府全会、经济运行分析会等会议经费8.1万元；
2、接待办：公务招待费31.5万元；接待办业务经费3.6万元；政府食堂运行维护费6万元；
3、后勤服务中心：会务服务购买经费12.5万元；柳西综合楼附属用房管理经费6万元；聘用司勤人员差旅费16万元；政府办公区保安服务费47.04万元；政府办公区物业保洁费33.6万元；政府大院水电费110万元；区领导交流房维护费10万元；
4、各镇：各镇经常性项目支出607.81万元。</t>
  </si>
  <si>
    <t>项目支出：统计局：基层统计工作网格化管理经费28.32万元。</t>
  </si>
  <si>
    <t>项目支出：财政局：票据工本费及会计继续教育培训费23万元；征管经费138.77万元。</t>
  </si>
  <si>
    <t>项目支出：税务局：税务局地方保障经费947万元；征管经费179万元。</t>
  </si>
  <si>
    <t>项目支出：纪委：纪委监委大院安保费17.46万元。</t>
  </si>
  <si>
    <t>项目支出：投促中心：招商引资专项经费79.2万元。</t>
  </si>
  <si>
    <t>项目支出：统战部：少数民族发展资金经费10万元。</t>
  </si>
  <si>
    <t>港澳台事务</t>
  </si>
  <si>
    <t>项目支出：1、关代办：关工委返聘人员工资22.90万元；
2、老体协：乡镇老体协主席工资补贴2.88万元；业务办公及水电费2万元；老体协工作人员工资2.46万元；
3、妇联：综合业务经费4.05万元；
4、团委：青春引擎县级配套培训经费1.35万元；西部计划志愿者工作经费24.86万元；
5、总工会：劳模津贴6.36万元。</t>
  </si>
  <si>
    <t>项目支出：区委办：机要值班补助经费8万元；区处级领导体检费5万元；区委常委会工作经费4.5万元；区委全会工作经费14.44万元。</t>
  </si>
  <si>
    <t>项目支出：组织部：拔尖人才津贴及评选经费11.52万元；部分建国初期参加革命工作退休干部生活医疗补助费14.14万元；村(社区)党组织书记“头雁计划”工作补贴12万元；村干部学历提升工程学费补贴4.5万元；村级党建组织员待遇补贴50.4万元；干部教育培训经费100万元；老领导中秋节及敬老节座谈会经费2万元；两新党建组织员工资及保险费60万元；两新组织党组织党建工作专员岗位补贴经费25.44万元；贫困村第一书记驻村专项工作经费和帮扶经费202万元；区领导联系关心爱护科技人才经费3万元；人才工作专项经费50万元；社区党建组织员工资及保险费100万元；驻村队员补助、体检费、人身意外险183.8万元；自治区星级村党组织村干部绩效奖励38万元。</t>
  </si>
  <si>
    <t>项目支出：统战部：统战对象慰问经费12.24万元。</t>
  </si>
  <si>
    <t>项目支出：1、党史研究室：返聘人员工资1.2万元；成团爱国主义教育基地维护经费5万元；
2、老干部活动中心：老干部活动中心水电费2万元；
3、组织部：老干部六项补贴及活动经费10万元；离退休老干部座谈会及慰问费5.2万元；离休干部和处级退休干部体检费3.6万元；
4、信访局：聘用保安经费3.86万元；
5、政法委：严重精神障碍患者“以奖代补”工作经费179.28万元。</t>
  </si>
  <si>
    <t>项目支出：武装部：安保人员聘用经费16.38万元；民兵整组费120万元；征兵经费128万元；综合业务经费24.35万元。</t>
  </si>
  <si>
    <t>项目支出：武装中队：水电费8万元；文化活动场所建设维护费5万元；执勤设施、营房设施建设维护费15万元。</t>
  </si>
  <si>
    <t>项目支出：1、交警队：交通协管员工资待遇及执勤服装装备经费761.13万元；综合业务经费77.27万元；
2、公安局：辅警人员经费2125.37万元；综合业务经费287.66万元。</t>
  </si>
  <si>
    <t>项目支出：检察院：工勤人员基础性绩效奖及各项保险、公积金12万元。</t>
  </si>
  <si>
    <t>项目支出：法院：工勤人员基础性绩效奖及各项保险、公积金11.57万元。</t>
  </si>
  <si>
    <t>项目支出：司法局：一村(社区)一法律顾问费24.25万元。</t>
  </si>
  <si>
    <t>项目支出：教育局：学生营养改善计划工友费475万元；城乡义务教育补助经费(家庭经济困难学生生活补助)115万元；城乡义务教育补助经费(农村义务教育学生营养改善计划)200万元；支持学前教育发展资金(学前免保教费)60万元；乡村教师体检费132万元；中小学义教公用经费本级配套资金500万元；边远乡镇义务教育阶段教师生活补助145万元；城区教师体检费95.52万元；公办幼儿园保障经费3116万元；寄宿制小学部分中心幼儿园后勤服务人员工资278.88万元；教师支(轮)教工作经费18.3万元；提高乡村教师待遇租房补贴本级配套资金213万元；原民办教师、代课人员参加养老保险补助金10.5万元；招聘教师工作经费13.5万元；中小学、幼儿园责任督学工作津贴21万元。</t>
  </si>
  <si>
    <t>项目支出：教育局：中小学校园安保服务费1350万元；无纸化阅卷服务项目经费10万元；防控青少年近视及全区学校新生肺结核(PPD)检查专项经费13.5万元；顶岗教学辅助服务费626.5万元。</t>
  </si>
  <si>
    <t>项目支出：教育局：中考考生免报考费6万元；综合业务经费13.5万元；顶岗教学辅助服务费817.5万元；防范中小学生溺水工作经费186.67万元；教育项目机动经费45万元；民办中小学幼儿园专职保安员配备经费38.85万元。</t>
  </si>
  <si>
    <t>项目支出：1、文广旅：体育公园、岜公塘公园水电费20万元；乡镇文化站免费开放经费4万元；
2、图书馆：图书馆免费开放经费2万元；
3、文化馆：文化馆免费开放经费2万元。</t>
  </si>
  <si>
    <t>项目支出：1、文广旅：体育中心物业管理费及水电费62.35万元；
2、体校:体校在校生补助18万元。</t>
  </si>
  <si>
    <t>项目支出：融媒体中心:公益电影配套经费5.52万元。</t>
  </si>
  <si>
    <t>项目支出：人社局：“三支一扶”工作经费50万元；农民工工资应急周转金20万元；仲裁员办案补助经费10万元。</t>
  </si>
  <si>
    <t>项目支出：民政局：城市社区工作者体检费 24万元；村(居)干部人身保险16万元；村、社区干部培训经费4.5万元；婚姻登记人员经费72.5万元。</t>
  </si>
  <si>
    <t>项目支出：1、法院：退休人员生活补助53万元；
2、检察院：退休人员生活补助29万元；
3、社保中心：做实以前年度机关事业单位退休人员职业年金549.57万元。</t>
  </si>
  <si>
    <t>项目支出：退役军人事务局：残疾军人抚恤金8万元；优抚对象定期定量生活补助2万元；现役军人家属优待金350万元；优抚对象意外伤害保险26万元。</t>
  </si>
  <si>
    <t>项目支出：退役军人事务局：军队自主择业干部医疗经费15万元；退役军人安置经费25.2万元；退役士兵保险续交经费10万元。</t>
  </si>
  <si>
    <t>项目支出：1、民政局：儿童基本生活保障经费15万元；高龄补贴728.4万元；困境儿童、未保、三留守经费20万元；困难群众春节慰问及人身意外综合险经费18.5万元；困难失能护理补贴74万元；
2、福利院：特困供养机构管理人员经费130万元。</t>
  </si>
  <si>
    <t>项目支出：1、残联：残疾人驾照补贴0.3万元；残疾人生产经营扶持补助5.17万元；广西残疾人高等职业教育学院资助经费0.1万元；贫困残疾人慰问经费9万元；乡镇残联专委人员经费46.86万元；
2、民政局：残疾人两项补贴资金160万元。</t>
  </si>
  <si>
    <r>
      <rPr>
        <sz val="10"/>
        <rFont val="宋体"/>
        <charset val="134"/>
      </rPr>
      <t>红十字事业</t>
    </r>
    <r>
      <rPr>
        <sz val="10"/>
        <rFont val="Times New Roman"/>
        <charset val="134"/>
      </rPr>
      <t xml:space="preserve"> </t>
    </r>
  </si>
  <si>
    <t>项目支出：民政局：城市最低生活保障金120万元；农村低保生活保障金250万元。</t>
  </si>
  <si>
    <t>项目支出：民政局：困难群众临时救助经费64万元；流浪乞讨人员救济经费40万元。</t>
  </si>
  <si>
    <t>项目支出：民政局：城市特困人员救助供养经费60万元；农村特困人员救助供养经费250万元。</t>
  </si>
  <si>
    <t>项目支出：民政局：其他农村社会救济经费3万元。</t>
  </si>
  <si>
    <t>项目支出：社保中心：城乡居民养老保险城区财政补贴563.6万元。</t>
  </si>
  <si>
    <t>项目支出：退役军人事务局：八一、春节等拥军优属慰问金160万元；新兵回访大学生入伍一次性奖励50万元。</t>
  </si>
  <si>
    <t>项目支出：1、社保中心：城乡居民养老保险特殊人群政府代缴保费18.07万元；
2、卫健局：计划生育家庭奖励扶（救）助资金(代缴医疗)760万元；计划生育家庭奖励扶（救）助资金(代缴养老)216万元；
3、残联：重度残疾人城乡居民基本医疗保险205万元；
4、医保局：低保及一般脱贫人口财政资助参保经费337.08万元。</t>
  </si>
  <si>
    <t>项目支出：社保中心：失业人员春节慰问补助48万元。</t>
  </si>
  <si>
    <t>项目支出：1、人民医院：业务经费1.81万元；医学院校实习费17.95万元；
2、中医院：医学院校实习费1.33万元；</t>
  </si>
  <si>
    <t>项目支出：1、卫健局：家庭接生员养老生活补助资金15.59万元；乡村医师乡聘村用补助资金333.31万元；乡村医师养老生活补助资金4.35万元；
2、乡镇卫生院：预防接种服务费169.77万元。</t>
  </si>
  <si>
    <t>卫生院</t>
  </si>
  <si>
    <t>项目支出：1、卫健局：重大传染病防控补助项目经费（防艾）101.76万元；基本公共卫生服务项目经费（原12项）226.42万元；基本公共卫生服务项目（职业病防治）经费3万元；其他公共卫生服务项目经费（四害防治）80万元；
2、疾控中心：疫苗储运费、疫苗冷链经费20万元；重大传染病防控补助项目经费（强免经费）5.5万元；重大传染病防控补助项目经费（美沙酮治疗）21.35万元；重大传染病防控补助项目（免疫规划）经费45万元；
3、人民医院：其他公共卫生服务项目经费（预防性体检)176万元；
4、妇幼保健院：基本公共卫生服务项目经费（妇幼保健）25万元；免费婚前医学检查经费20万元；消除新生儿破伤风项目经费10万元；
5、乡镇卫生院：重大传染病防控补助项目经费（精神卫生）250万元。</t>
  </si>
  <si>
    <t>项目支出：卫健局：计划生育服务(计生协会工作)经费15万元；计划生育家庭奖励扶(救)助经费314万元。</t>
  </si>
  <si>
    <t>项目支出：1、医保局：城乡医疗救助资金356.11万元；一般脱贫人口医疗救助医疗费资金82.76万元；
2、退役军人事务局:优抚对象医疗救助经费220万元。</t>
  </si>
  <si>
    <t>中医药事务</t>
  </si>
  <si>
    <t>项目支出：生态环境局：2024年编外聘用人员经费46万元；乡村振兴帮扶工作经费1.92万元。</t>
  </si>
  <si>
    <t>退耕还林还草</t>
  </si>
  <si>
    <t>森林保护修复</t>
  </si>
  <si>
    <t>项目支出：城管局：政府租赁性车辆运行维护经费12万元。</t>
  </si>
  <si>
    <t>城市基础设施配套费安排的支出</t>
  </si>
  <si>
    <t>项目支出：1、农业农村局：村兽医员补助经费18.2万元；动物防疫储备金15万元；工伤人员医疗补助9.59万元；县级配套养殖环节病死猪无害化处理项目经费23万元；政策性能繁母猪、育肥猪保险补贴项目经费202.29万元；
2、乡村振兴局：“脱贫户和监测对象困难家庭关心关爱”春节慰问经费101万元；乡村清洁工作经费384.48万元；安全保障服务经费12.93万元；
3、糖业发展中心：糖料蔗脱毒、健康种苗补贴县配套经费150万元；糖料蔗完全成本保险126万元。</t>
  </si>
  <si>
    <t>项目支出：自然资源局：林长制经费120.54万元。</t>
  </si>
  <si>
    <t>项目支出：水利局：水利综合业务经费34.61万元。</t>
  </si>
  <si>
    <t>项目支出：乡村振兴局：基础设施建设经费1854万元；项目监理费、设计费、测绘费、预评审等经费750万元；跨省就业一次性交通补助56万元；脱贫户、监测户县域内务工劳务补助260万元。</t>
  </si>
  <si>
    <t>项目支出：气象局：人员经费30.59万元。</t>
  </si>
  <si>
    <t>项目支出：发改局：军粮供应站补助经费2.5万元；粮食安全检测、流通监督检查及库存工作经费4.5万元；柳粮公司代管改制在职人员补贴100万元。</t>
  </si>
  <si>
    <t>重要商品储备</t>
  </si>
  <si>
    <t>项目支出：应急局：应急救援队伍(森林消防员)建设经费203万元。</t>
  </si>
  <si>
    <t>项目支出：消防大队：国家编消防员人员经费26.8万元；政府专职消防员人员经费744万元；消防员公用经费40万元。</t>
  </si>
  <si>
    <t>项目支出：应急局：地方自然灾害生活补助2万元。</t>
  </si>
  <si>
    <t>法定预留，按照当年本级一般公共预算支出额的百分之一至百分之三安排预留，在预算执行中，发生较大突发事件和发生原来没有列入预算而又必须解决的临时性开支，在经一定程序审批后予以支付。</t>
  </si>
  <si>
    <t>项目支出：预留其他人员及公用等经费2000万元。</t>
  </si>
  <si>
    <t>表四：柳江区2024年一般公共预算支出预算表-本级支出
（分政府经济分类科目）</t>
  </si>
  <si>
    <t>支出经济分类
科目编码</t>
  </si>
  <si>
    <t>支出经济分类科目名称</t>
  </si>
  <si>
    <t>合计</t>
  </si>
  <si>
    <t>类</t>
  </si>
  <si>
    <t>款</t>
  </si>
  <si>
    <t>501</t>
  </si>
  <si>
    <t>机关工资福利支出</t>
  </si>
  <si>
    <t xml:space="preserve">  501</t>
  </si>
  <si>
    <t>01</t>
  </si>
  <si>
    <t xml:space="preserve">  工资奖金津补贴</t>
  </si>
  <si>
    <t>02</t>
  </si>
  <si>
    <t xml:space="preserve">  社会保障缴费</t>
  </si>
  <si>
    <t>03</t>
  </si>
  <si>
    <t xml:space="preserve">  住房公积金</t>
  </si>
  <si>
    <t>99</t>
  </si>
  <si>
    <t xml:space="preserve">  其他工资福利支出</t>
  </si>
  <si>
    <t>502</t>
  </si>
  <si>
    <t>机关商品和服务支出</t>
  </si>
  <si>
    <t xml:space="preserve">  502</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</si>
  <si>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</si>
  <si>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</si>
  <si>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</si>
  <si>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</si>
  <si>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</si>
  <si>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</si>
  <si>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</si>
  <si>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</si>
  <si>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</si>
  <si>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08</t>
  </si>
  <si>
    <t xml:space="preserve">  公务用车运行维护费</t>
  </si>
  <si>
    <t>09</t>
  </si>
  <si>
    <t xml:space="preserve">  维修（护）费</t>
  </si>
  <si>
    <t xml:space="preserve">  其他商品和服务支出</t>
  </si>
  <si>
    <t>503</t>
  </si>
  <si>
    <t>机关资本性支出</t>
  </si>
  <si>
    <t xml:space="preserve">  503</t>
  </si>
  <si>
    <t xml:space="preserve">  房屋建筑物购建</t>
  </si>
  <si>
    <t xml:space="preserve">  基础设施建设</t>
  </si>
  <si>
    <t xml:space="preserve">  公务用车购置</t>
  </si>
  <si>
    <t xml:space="preserve">  土地征迁补偿和安置支出</t>
  </si>
  <si>
    <t xml:space="preserve">  设备购置</t>
  </si>
  <si>
    <t>07</t>
  </si>
  <si>
    <t xml:space="preserve">  大型修缮</t>
  </si>
  <si>
    <t xml:space="preserve">  其他资本性支出</t>
  </si>
  <si>
    <t>505</t>
  </si>
  <si>
    <t>对事业单位经常性补助</t>
  </si>
  <si>
    <t xml:space="preserve">  505</t>
  </si>
  <si>
    <t xml:space="preserve">  工资福利支出</t>
  </si>
  <si>
    <t xml:space="preserve">  商品和服务支出</t>
  </si>
  <si>
    <t>506</t>
  </si>
  <si>
    <t>对事业单位资本性补助</t>
  </si>
  <si>
    <t xml:space="preserve">  506</t>
  </si>
  <si>
    <t xml:space="preserve">  资本性支出</t>
  </si>
  <si>
    <t xml:space="preserve">  资本性支出（基本建设）</t>
  </si>
  <si>
    <t>507</t>
  </si>
  <si>
    <t>对企业补助</t>
  </si>
  <si>
    <t xml:space="preserve">  507</t>
  </si>
  <si>
    <t xml:space="preserve">  费用补贴</t>
  </si>
  <si>
    <t xml:space="preserve">  利息补贴</t>
  </si>
  <si>
    <t xml:space="preserve">  其他对企业补助</t>
  </si>
  <si>
    <t>509</t>
  </si>
  <si>
    <t>对个人和家庭的补助</t>
  </si>
  <si>
    <t xml:space="preserve">  509</t>
  </si>
  <si>
    <t xml:space="preserve">  社会福利和救助</t>
  </si>
  <si>
    <t xml:space="preserve">  助学金</t>
  </si>
  <si>
    <t xml:space="preserve">  个人农业生产补贴</t>
  </si>
  <si>
    <t xml:space="preserve">  离退休费</t>
  </si>
  <si>
    <t xml:space="preserve">  其他对个人和家庭的补助</t>
  </si>
  <si>
    <t>510</t>
  </si>
  <si>
    <t>对社会保障基金补助</t>
  </si>
  <si>
    <t xml:space="preserve">  510</t>
  </si>
  <si>
    <t xml:space="preserve">  对社会保险基金补助</t>
  </si>
  <si>
    <t xml:space="preserve">  对机关事业单位职业年金的补助</t>
  </si>
  <si>
    <t>511</t>
  </si>
  <si>
    <t>债务利息及费用支出</t>
  </si>
  <si>
    <t xml:space="preserve">  511</t>
  </si>
  <si>
    <t xml:space="preserve">  国内债务付息</t>
  </si>
  <si>
    <t>514</t>
  </si>
  <si>
    <t>预备费及预留</t>
  </si>
  <si>
    <t xml:space="preserve">  514</t>
  </si>
  <si>
    <t xml:space="preserve">  预备费</t>
  </si>
  <si>
    <t>599</t>
  </si>
  <si>
    <t xml:space="preserve">  599</t>
  </si>
  <si>
    <t xml:space="preserve">  其他支出</t>
  </si>
  <si>
    <t>表五：柳江区2023年政府性基金预算收支执行情况和2024年政府性基金收支预算表</t>
  </si>
  <si>
    <t>项          目</t>
  </si>
  <si>
    <t>2022年
决算数</t>
  </si>
  <si>
    <t>2023年收支执行情况</t>
  </si>
  <si>
    <t>2024年收支预算情况</t>
  </si>
  <si>
    <t>上级结余</t>
  </si>
  <si>
    <t>本年上级</t>
  </si>
  <si>
    <t>一、国有土地使用权出让收入</t>
  </si>
  <si>
    <t>二、城市基础设施配套费收入</t>
  </si>
  <si>
    <t>三、污水处理费收入</t>
  </si>
  <si>
    <t>四、其他政府性基金收入</t>
  </si>
  <si>
    <t>调下一万</t>
  </si>
  <si>
    <t>五、专项债券对应项目专项收入</t>
  </si>
  <si>
    <t>政府性基金预算收入小计</t>
  </si>
  <si>
    <t xml:space="preserve">    转移性收入</t>
  </si>
  <si>
    <t xml:space="preserve">      上级补助收入</t>
  </si>
  <si>
    <t>其中2024年预算数967.56万元为上级提前下达专项资金。</t>
  </si>
  <si>
    <t>20822:402.66；22960:106</t>
  </si>
  <si>
    <t xml:space="preserve">      上年结余收入</t>
  </si>
  <si>
    <t xml:space="preserve">      调入资金</t>
  </si>
  <si>
    <t xml:space="preserve">      地方政府专项债务转贷收入</t>
  </si>
  <si>
    <t>一、文化旅游体育与传媒支出</t>
  </si>
  <si>
    <t xml:space="preserve">    国家电影事业发展专项资金安排的支出</t>
  </si>
  <si>
    <t>二、城乡社区支出</t>
  </si>
  <si>
    <t xml:space="preserve">    国有土地使用权出让收入安排的支出</t>
  </si>
  <si>
    <t xml:space="preserve">    国有土地收益基金安排的支出</t>
  </si>
  <si>
    <t xml:space="preserve">    农业土地开发资金安排的支出</t>
  </si>
  <si>
    <t xml:space="preserve">    污水处理费安排支出</t>
  </si>
  <si>
    <t>实际支出2438.32</t>
  </si>
  <si>
    <t xml:space="preserve">    城市基础设施配套费安排的支出</t>
  </si>
  <si>
    <t xml:space="preserve">    国有土地使用权出让收入对应专项债券收入安排的支出</t>
  </si>
  <si>
    <t>三、农林水支出</t>
  </si>
  <si>
    <t xml:space="preserve">    大中型水库库区基金安排的支出</t>
  </si>
  <si>
    <t xml:space="preserve">    国家重大水利工程建设基金安排的支出</t>
  </si>
  <si>
    <t xml:space="preserve">    大中型水库移民后期扶持基金支出</t>
  </si>
  <si>
    <t xml:space="preserve">    小型水库移民扶助基金安排的支出</t>
  </si>
  <si>
    <t>四、其他支出</t>
  </si>
  <si>
    <t xml:space="preserve">    其他政府性基金及对应专项债务收入安排的支出</t>
  </si>
  <si>
    <t xml:space="preserve">    彩票公益金安排的支出</t>
  </si>
  <si>
    <t>五、债务付息支出</t>
  </si>
  <si>
    <t xml:space="preserve">    地方政府专项债务付息支出</t>
  </si>
  <si>
    <t>六、债务发行费用支出</t>
  </si>
  <si>
    <t xml:space="preserve">    地方政府专项债务发行费用支出</t>
  </si>
  <si>
    <t>政府性基金预算支出小计</t>
  </si>
  <si>
    <t xml:space="preserve">    转移性支出</t>
  </si>
  <si>
    <t xml:space="preserve">      上解支出</t>
  </si>
  <si>
    <t xml:space="preserve">      地方政府专项债务还本支出</t>
  </si>
  <si>
    <t>本级结余</t>
  </si>
  <si>
    <t xml:space="preserve">      调出资金</t>
  </si>
  <si>
    <t xml:space="preserve">      年终结余</t>
  </si>
  <si>
    <r>
      <rPr>
        <b/>
        <sz val="14"/>
        <color rgb="FF000000"/>
        <rFont val="宋体"/>
        <charset val="134"/>
      </rPr>
      <t>表五：柳江区</t>
    </r>
    <r>
      <rPr>
        <b/>
        <sz val="14"/>
        <color rgb="FF000000"/>
        <rFont val="Times New Roman"/>
        <charset val="134"/>
      </rPr>
      <t>2024</t>
    </r>
    <r>
      <rPr>
        <b/>
        <sz val="14"/>
        <color rgb="FF000000"/>
        <rFont val="宋体"/>
        <charset val="134"/>
      </rPr>
      <t>年政府性基金支出预算表</t>
    </r>
    <r>
      <rPr>
        <b/>
        <sz val="14"/>
        <color rgb="FF000000"/>
        <rFont val="Times New Roman"/>
        <charset val="134"/>
      </rPr>
      <t>-</t>
    </r>
    <r>
      <rPr>
        <b/>
        <sz val="14"/>
        <color rgb="FF000000"/>
        <rFont val="宋体"/>
        <charset val="134"/>
      </rPr>
      <t>本级项目明细</t>
    </r>
  </si>
  <si>
    <r>
      <rPr>
        <b/>
        <sz val="10"/>
        <color theme="1"/>
        <rFont val="宋体"/>
        <charset val="134"/>
      </rPr>
      <t>项</t>
    </r>
    <r>
      <rPr>
        <b/>
        <sz val="10"/>
        <color theme="1"/>
        <rFont val="Times New Roman"/>
        <charset val="134"/>
      </rPr>
      <t xml:space="preserve">  </t>
    </r>
    <r>
      <rPr>
        <b/>
        <sz val="10"/>
        <color theme="1"/>
        <rFont val="宋体"/>
        <charset val="134"/>
      </rPr>
      <t>目</t>
    </r>
  </si>
  <si>
    <r>
      <rPr>
        <b/>
        <sz val="10"/>
        <color theme="1"/>
        <rFont val="宋体"/>
        <charset val="134"/>
      </rPr>
      <t>年初预算数</t>
    </r>
  </si>
  <si>
    <t>污水处理费安排的支出</t>
  </si>
  <si>
    <t>项目支出:住建局：拉堡、新兴污水处理费2700万元。</t>
  </si>
  <si>
    <r>
      <rPr>
        <b/>
        <sz val="10"/>
        <color theme="1"/>
        <rFont val="宋体"/>
        <charset val="134"/>
      </rPr>
      <t>城市基础设施配套费安排的支出</t>
    </r>
  </si>
  <si>
    <r>
      <rPr>
        <sz val="9"/>
        <rFont val="宋体"/>
        <charset val="134"/>
      </rPr>
      <t>项目支出：</t>
    </r>
    <r>
      <rPr>
        <sz val="9"/>
        <rFont val="Times New Roman"/>
        <charset val="134"/>
      </rPr>
      <t>1</t>
    </r>
    <r>
      <rPr>
        <sz val="9"/>
        <rFont val="宋体"/>
        <charset val="134"/>
      </rPr>
      <t>、开发区管委会：柳石路东片区环卫服务经费</t>
    </r>
    <r>
      <rPr>
        <sz val="9"/>
        <rFont val="Times New Roman"/>
        <charset val="134"/>
      </rPr>
      <t>45</t>
    </r>
    <r>
      <rPr>
        <sz val="9"/>
        <rFont val="宋体"/>
        <charset val="134"/>
      </rPr>
      <t>万元；园区路灯、绿化、管网及加压站运维经费</t>
    </r>
    <r>
      <rPr>
        <sz val="9"/>
        <rFont val="Times New Roman"/>
        <charset val="134"/>
      </rPr>
      <t>120</t>
    </r>
    <r>
      <rPr>
        <sz val="9"/>
        <rFont val="宋体"/>
        <charset val="134"/>
      </rPr>
      <t>万元；新兴工业园四方片区环卫清扫保洁项目经费</t>
    </r>
    <r>
      <rPr>
        <sz val="9"/>
        <rFont val="Times New Roman"/>
        <charset val="134"/>
      </rPr>
      <t>100</t>
    </r>
    <r>
      <rPr>
        <sz val="9"/>
        <rFont val="宋体"/>
        <charset val="134"/>
      </rPr>
      <t>万元；新兴工业园本部环卫经费</t>
    </r>
    <r>
      <rPr>
        <sz val="9"/>
        <rFont val="Times New Roman"/>
        <charset val="134"/>
      </rPr>
      <t>100</t>
    </r>
    <r>
      <rPr>
        <sz val="9"/>
        <rFont val="宋体"/>
        <charset val="134"/>
      </rPr>
      <t>万元；</t>
    </r>
    <r>
      <rPr>
        <sz val="9"/>
        <rFont val="Times New Roman"/>
        <charset val="134"/>
      </rPr>
      <t xml:space="preserve">
2</t>
    </r>
    <r>
      <rPr>
        <sz val="9"/>
        <rFont val="宋体"/>
        <charset val="134"/>
      </rPr>
      <t>、住建局：全区路灯电费</t>
    </r>
    <r>
      <rPr>
        <sz val="9"/>
        <rFont val="Times New Roman"/>
        <charset val="134"/>
      </rPr>
      <t>250</t>
    </r>
    <r>
      <rPr>
        <sz val="9"/>
        <rFont val="宋体"/>
        <charset val="134"/>
      </rPr>
      <t>万元；全区路灯维护费</t>
    </r>
    <r>
      <rPr>
        <sz val="9"/>
        <rFont val="Times New Roman"/>
        <charset val="134"/>
      </rPr>
      <t>50</t>
    </r>
    <r>
      <rPr>
        <sz val="9"/>
        <rFont val="宋体"/>
        <charset val="134"/>
      </rPr>
      <t>万元；道路、公园、广场及街头绿地管养材料经费（柳江大道、兴柳路新增绿地）</t>
    </r>
    <r>
      <rPr>
        <sz val="9"/>
        <rFont val="Times New Roman"/>
        <charset val="134"/>
      </rPr>
      <t>25</t>
    </r>
    <r>
      <rPr>
        <sz val="9"/>
        <rFont val="宋体"/>
        <charset val="134"/>
      </rPr>
      <t>万元；道路、公园、广场及绿地管养劳务经费</t>
    </r>
    <r>
      <rPr>
        <sz val="9"/>
        <rFont val="Times New Roman"/>
        <charset val="134"/>
      </rPr>
      <t>135</t>
    </r>
    <r>
      <rPr>
        <sz val="9"/>
        <rFont val="宋体"/>
        <charset val="134"/>
      </rPr>
      <t>万元；</t>
    </r>
    <r>
      <rPr>
        <sz val="9"/>
        <rFont val="Times New Roman"/>
        <charset val="134"/>
      </rPr>
      <t xml:space="preserve">
3</t>
    </r>
    <r>
      <rPr>
        <sz val="9"/>
        <rFont val="宋体"/>
        <charset val="134"/>
      </rPr>
      <t>、城管局：柳江新城区市政道路环卫市场化外包经费</t>
    </r>
    <r>
      <rPr>
        <sz val="9"/>
        <rFont val="Times New Roman"/>
        <charset val="134"/>
      </rPr>
      <t>275</t>
    </r>
    <r>
      <rPr>
        <sz val="9"/>
        <rFont val="宋体"/>
        <charset val="134"/>
      </rPr>
      <t>万元。</t>
    </r>
  </si>
  <si>
    <r>
      <rPr>
        <b/>
        <sz val="10"/>
        <color theme="1"/>
        <rFont val="宋体"/>
        <charset val="134"/>
      </rPr>
      <t>国有土地使用权出让金安排的支出</t>
    </r>
  </si>
  <si>
    <r>
      <rPr>
        <sz val="9"/>
        <rFont val="宋体"/>
        <charset val="134"/>
      </rPr>
      <t>项目支出：</t>
    </r>
    <r>
      <rPr>
        <sz val="9"/>
        <rFont val="Times New Roman"/>
        <charset val="134"/>
      </rPr>
      <t>1</t>
    </r>
    <r>
      <rPr>
        <sz val="9"/>
        <rFont val="宋体"/>
        <charset val="134"/>
      </rPr>
      <t>、财政预留经费6906万元。其中：区领导基层调研及帮扶经费500万元；预留年度各项专项支出经费6406万元。
 2、预留以前年度欠拨款项24195万元。</t>
    </r>
    <r>
      <rPr>
        <sz val="9"/>
        <rFont val="Times New Roman"/>
        <charset val="134"/>
      </rPr>
      <t xml:space="preserve">
  3</t>
    </r>
    <r>
      <rPr>
        <sz val="9"/>
        <rFont val="宋体"/>
        <charset val="134"/>
      </rPr>
      <t>、其他项目支出共24988.03万元，包括：</t>
    </r>
    <r>
      <rPr>
        <sz val="9"/>
        <rFont val="Times New Roman"/>
        <charset val="134"/>
      </rPr>
      <t xml:space="preserve">
</t>
    </r>
    <r>
      <rPr>
        <sz val="9"/>
        <rFont val="宋体"/>
        <charset val="134"/>
      </rPr>
      <t>（</t>
    </r>
    <r>
      <rPr>
        <sz val="9"/>
        <rFont val="Times New Roman"/>
        <charset val="134"/>
      </rPr>
      <t>1</t>
    </r>
    <r>
      <rPr>
        <sz val="9"/>
        <rFont val="宋体"/>
        <charset val="134"/>
      </rPr>
      <t xml:space="preserve">）区委办：应急工作保障经费65万元；区委调研指导组工作费用9万元；区委综合业务经费13.28万元；档案馆综合业务费5.49万元；                                                                                                               </t>
    </r>
    <r>
      <rPr>
        <sz val="9"/>
        <rFont val="Times New Roman"/>
        <charset val="134"/>
      </rPr>
      <t xml:space="preserve">
</t>
    </r>
    <r>
      <rPr>
        <sz val="9"/>
        <rFont val="宋体"/>
        <charset val="134"/>
      </rPr>
      <t>（2）组织部：党员开展组织生活保障经费130.5万元；村党组织服务群众经费112.5万元；村干部培训县级配套经费11.48万元；农村党员大培训县级配套经费18.09万元；“三会兴屯”工作经费76.32万元；五面红旗村创建经费6.75万元；创星升级活动及已命名星级村奖励办公经费11.25万元；“标杆乡镇”公用补助经费18万元；城市居民小区党组织工作经费6.75万元；组织部综合业务经费46.44万元；老年活动中心综合业务经费2.12万元；</t>
    </r>
    <r>
      <rPr>
        <sz val="9"/>
        <rFont val="Times New Roman"/>
        <charset val="134"/>
      </rPr>
      <t xml:space="preserve">
</t>
    </r>
    <r>
      <rPr>
        <sz val="9"/>
        <rFont val="宋体"/>
        <charset val="134"/>
      </rPr>
      <t>（</t>
    </r>
    <r>
      <rPr>
        <sz val="9"/>
        <rFont val="Times New Roman"/>
        <charset val="134"/>
      </rPr>
      <t>3</t>
    </r>
    <r>
      <rPr>
        <sz val="9"/>
        <rFont val="宋体"/>
        <charset val="134"/>
      </rPr>
      <t>）宣传部：与各级媒体合作经费200万元；宣传部综合业务经费100.8万元；创城经费100万元；</t>
    </r>
    <r>
      <rPr>
        <sz val="9"/>
        <rFont val="Times New Roman"/>
        <charset val="134"/>
      </rPr>
      <t xml:space="preserve">
</t>
    </r>
    <r>
      <rPr>
        <sz val="9"/>
        <rFont val="宋体"/>
        <charset val="134"/>
      </rPr>
      <t>（4）政法委：维稳经费(含司法救助、见义勇为经费)400万元；禁毒工作经费580万元；政法委综合业务经费67.73万元；</t>
    </r>
    <r>
      <rPr>
        <sz val="9"/>
        <rFont val="Times New Roman"/>
        <charset val="134"/>
      </rPr>
      <t xml:space="preserve">
</t>
    </r>
    <r>
      <rPr>
        <sz val="9"/>
        <rFont val="宋体"/>
        <charset val="134"/>
      </rPr>
      <t>（5）统战部：统战部综合业务经费56.7万元；区委统一战线工作领导小组办公室经费13.5万元；
（6）党史办：党史办综合业务经费4.28万元；
（7）信访局：信访局综合业务经费3.15万元；
（8）团委：共青团综合工作经费18.68万元； 
（9）妇联：妇女儿童事业发展基金18万元；儿童之家运行经费11万元；</t>
    </r>
    <r>
      <rPr>
        <sz val="9"/>
        <rFont val="Times New Roman"/>
        <charset val="134"/>
      </rPr>
      <t xml:space="preserve">
</t>
    </r>
    <r>
      <rPr>
        <sz val="9"/>
        <rFont val="宋体"/>
        <charset val="134"/>
      </rPr>
      <t>（10）机关工委：机关工委综合业务经费</t>
    </r>
    <r>
      <rPr>
        <sz val="9"/>
        <rFont val="Times New Roman"/>
        <charset val="134"/>
      </rPr>
      <t>1.58</t>
    </r>
    <r>
      <rPr>
        <sz val="9"/>
        <rFont val="宋体"/>
        <charset val="134"/>
      </rPr>
      <t>万元；</t>
    </r>
    <r>
      <rPr>
        <sz val="9"/>
        <rFont val="Times New Roman"/>
        <charset val="134"/>
      </rPr>
      <t xml:space="preserve">                                                                                                                                                              
</t>
    </r>
    <r>
      <rPr>
        <sz val="9"/>
        <rFont val="宋体"/>
        <charset val="134"/>
      </rPr>
      <t>（11）绩效办：绩效办综合业务经费15.3万元；</t>
    </r>
    <r>
      <rPr>
        <sz val="9"/>
        <rFont val="Times New Roman"/>
        <charset val="134"/>
      </rPr>
      <t xml:space="preserve">
</t>
    </r>
    <r>
      <rPr>
        <sz val="9"/>
        <rFont val="宋体"/>
        <charset val="134"/>
      </rPr>
      <t>（12）侨联：侨联综合业务经费1.58万元；“暖侨敬老行动”经费1万元；
（13）工商联：工商联综合业务经费2.93万元；
（14）文联：文联综合业务经费10.31万元；
（15）科协：县(区)级科普经费12.15万元；老科协年度工作经费2.25万元；</t>
    </r>
    <r>
      <rPr>
        <sz val="9"/>
        <rFont val="Times New Roman"/>
        <charset val="134"/>
      </rPr>
      <t xml:space="preserve">
</t>
    </r>
    <r>
      <rPr>
        <sz val="9"/>
        <rFont val="宋体"/>
        <charset val="134"/>
      </rPr>
      <t>（16）关代办：关代办综合业务经费5.63万元；
（17）老体协：老体协综合业务经费1.58万元；</t>
    </r>
    <r>
      <rPr>
        <sz val="9"/>
        <rFont val="Times New Roman"/>
        <charset val="134"/>
      </rPr>
      <t xml:space="preserve">
</t>
    </r>
    <r>
      <rPr>
        <sz val="9"/>
        <rFont val="宋体"/>
        <charset val="134"/>
      </rPr>
      <t>（18）政府办：突发公共事件应急经费65万元；领事保护工作经费2.7万元；政府办综合业务经费4.5万元；信息中心综合业务经费6.3万元；政务新媒体管理经费4.5万元；网站管理维护经费7万元；电子政务外网网络及平台服务经费37.66万元；柳江区办公自动化系统运维费22.8万元；
（19）人大办：人大综合业务经费16.02万元；</t>
    </r>
    <r>
      <rPr>
        <sz val="9"/>
        <rFont val="Times New Roman"/>
        <charset val="134"/>
      </rPr>
      <t xml:space="preserve">
</t>
    </r>
    <r>
      <rPr>
        <sz val="9"/>
        <rFont val="宋体"/>
        <charset val="134"/>
      </rPr>
      <t>（20）政协办：政协委员联络站工作经费4.5万元；政协综合业务经费2.7万元；</t>
    </r>
    <r>
      <rPr>
        <sz val="9"/>
        <rFont val="Times New Roman"/>
        <charset val="134"/>
      </rPr>
      <t xml:space="preserve">
</t>
    </r>
    <r>
      <rPr>
        <sz val="9"/>
        <rFont val="宋体"/>
        <charset val="134"/>
      </rPr>
      <t>（21）编办：编委会工作经费0.9万元；编办综合业务经费3.6万元；</t>
    </r>
    <r>
      <rPr>
        <sz val="9"/>
        <rFont val="Times New Roman"/>
        <charset val="134"/>
      </rPr>
      <t xml:space="preserve">
</t>
    </r>
    <r>
      <rPr>
        <sz val="9"/>
        <rFont val="宋体"/>
        <charset val="134"/>
      </rPr>
      <t>（22）党校：党校综合业务经费</t>
    </r>
    <r>
      <rPr>
        <sz val="9"/>
        <rFont val="Times New Roman"/>
        <charset val="134"/>
      </rPr>
      <t>8.33</t>
    </r>
    <r>
      <rPr>
        <sz val="9"/>
        <rFont val="宋体"/>
        <charset val="134"/>
      </rPr>
      <t>万元；</t>
    </r>
    <r>
      <rPr>
        <sz val="9"/>
        <rFont val="Times New Roman"/>
        <charset val="134"/>
      </rPr>
      <t xml:space="preserve">
</t>
    </r>
    <r>
      <rPr>
        <sz val="9"/>
        <rFont val="宋体"/>
        <charset val="134"/>
      </rPr>
      <t>（23）自然资源局：自然资源管理综合业务经费</t>
    </r>
    <r>
      <rPr>
        <sz val="9"/>
        <rFont val="Times New Roman"/>
        <charset val="134"/>
      </rPr>
      <t>51.3</t>
    </r>
    <r>
      <rPr>
        <sz val="9"/>
        <rFont val="宋体"/>
        <charset val="134"/>
      </rPr>
      <t>万元；自然资源执法监察大队运行经费</t>
    </r>
    <r>
      <rPr>
        <sz val="9"/>
        <rFont val="Times New Roman"/>
        <charset val="134"/>
      </rPr>
      <t>4.5</t>
    </r>
    <r>
      <rPr>
        <sz val="9"/>
        <rFont val="宋体"/>
        <charset val="134"/>
      </rPr>
      <t>万元；联合打击经费</t>
    </r>
    <r>
      <rPr>
        <sz val="9"/>
        <rFont val="Times New Roman"/>
        <charset val="134"/>
      </rPr>
      <t>20.25</t>
    </r>
    <r>
      <rPr>
        <sz val="9"/>
        <rFont val="宋体"/>
        <charset val="134"/>
      </rPr>
      <t>万元；不动产登记业务经费</t>
    </r>
    <r>
      <rPr>
        <sz val="9"/>
        <rFont val="Times New Roman"/>
        <charset val="134"/>
      </rPr>
      <t>4.5</t>
    </r>
    <r>
      <rPr>
        <sz val="9"/>
        <rFont val="宋体"/>
        <charset val="134"/>
      </rPr>
      <t>万元；地质灾害防治经费</t>
    </r>
    <r>
      <rPr>
        <sz val="9"/>
        <rFont val="Times New Roman"/>
        <charset val="134"/>
      </rPr>
      <t>7.65</t>
    </r>
    <r>
      <rPr>
        <sz val="9"/>
        <rFont val="宋体"/>
        <charset val="134"/>
      </rPr>
      <t>万元；森林有害生物防治测报业务工作经费</t>
    </r>
    <r>
      <rPr>
        <sz val="9"/>
        <rFont val="Times New Roman"/>
        <charset val="134"/>
      </rPr>
      <t>2.25</t>
    </r>
    <r>
      <rPr>
        <sz val="9"/>
        <rFont val="宋体"/>
        <charset val="134"/>
      </rPr>
      <t>万元；森林防火经费</t>
    </r>
    <r>
      <rPr>
        <sz val="9"/>
        <rFont val="Times New Roman"/>
        <charset val="134"/>
      </rPr>
      <t>2.25</t>
    </r>
    <r>
      <rPr>
        <sz val="9"/>
        <rFont val="宋体"/>
        <charset val="134"/>
      </rPr>
      <t>万元；植树节活动经费</t>
    </r>
    <r>
      <rPr>
        <sz val="9"/>
        <rFont val="Times New Roman"/>
        <charset val="134"/>
      </rPr>
      <t>3.6</t>
    </r>
    <r>
      <rPr>
        <sz val="9"/>
        <rFont val="宋体"/>
        <charset val="134"/>
      </rPr>
      <t>万元；</t>
    </r>
    <r>
      <rPr>
        <sz val="9"/>
        <rFont val="Times New Roman"/>
        <charset val="134"/>
      </rPr>
      <t xml:space="preserve">
</t>
    </r>
    <r>
      <rPr>
        <sz val="9"/>
        <rFont val="宋体"/>
        <charset val="134"/>
      </rPr>
      <t>（24）住建局：预防一氧化碳中毒工作经费</t>
    </r>
    <r>
      <rPr>
        <sz val="9"/>
        <rFont val="Times New Roman"/>
        <charset val="134"/>
      </rPr>
      <t>4.5</t>
    </r>
    <r>
      <rPr>
        <sz val="9"/>
        <rFont val="宋体"/>
        <charset val="134"/>
      </rPr>
      <t>万元；综合业务费</t>
    </r>
    <r>
      <rPr>
        <sz val="9"/>
        <rFont val="Times New Roman"/>
        <charset val="134"/>
      </rPr>
      <t>15.75</t>
    </r>
    <r>
      <rPr>
        <sz val="9"/>
        <rFont val="宋体"/>
        <charset val="134"/>
      </rPr>
      <t>万元；乡镇垃圾转运站运行经费</t>
    </r>
    <r>
      <rPr>
        <sz val="9"/>
        <rFont val="Times New Roman"/>
        <charset val="134"/>
      </rPr>
      <t>500</t>
    </r>
    <r>
      <rPr>
        <sz val="9"/>
        <rFont val="宋体"/>
        <charset val="134"/>
      </rPr>
      <t>万元；百朋镇和穿山镇污水处理厂运行费</t>
    </r>
    <r>
      <rPr>
        <sz val="9"/>
        <rFont val="Times New Roman"/>
        <charset val="134"/>
      </rPr>
      <t>180</t>
    </r>
    <r>
      <rPr>
        <sz val="9"/>
        <rFont val="宋体"/>
        <charset val="134"/>
      </rPr>
      <t>万元；道路、公园、广场及绿地等管养水、电费</t>
    </r>
    <r>
      <rPr>
        <sz val="9"/>
        <rFont val="Times New Roman"/>
        <charset val="134"/>
      </rPr>
      <t>23</t>
    </r>
    <r>
      <rPr>
        <sz val="9"/>
        <rFont val="宋体"/>
        <charset val="134"/>
      </rPr>
      <t>万元；节假日摆花经费</t>
    </r>
    <r>
      <rPr>
        <sz val="9"/>
        <rFont val="Times New Roman"/>
        <charset val="134"/>
      </rPr>
      <t>4.05</t>
    </r>
    <r>
      <rPr>
        <sz val="9"/>
        <rFont val="宋体"/>
        <charset val="134"/>
      </rPr>
      <t>万元；白蚁防治经费</t>
    </r>
    <r>
      <rPr>
        <sz val="9"/>
        <rFont val="Times New Roman"/>
        <charset val="134"/>
      </rPr>
      <t>1.35</t>
    </r>
    <r>
      <rPr>
        <sz val="9"/>
        <rFont val="宋体"/>
        <charset val="134"/>
      </rPr>
      <t>万元；房产所综合业务工作经费</t>
    </r>
    <r>
      <rPr>
        <sz val="9"/>
        <rFont val="Times New Roman"/>
        <charset val="134"/>
      </rPr>
      <t>5.38</t>
    </r>
    <r>
      <rPr>
        <sz val="9"/>
        <rFont val="宋体"/>
        <charset val="134"/>
      </rPr>
      <t>万元；</t>
    </r>
  </si>
  <si>
    <t>国有土地使用权出让收入安排的支出</t>
  </si>
  <si>
    <t>（25）审批局：行政审批综合业务工作经费9万元；政务服务中心综合业务费9万元；行政审批事项评审查验和法律顾问劳务费7.2万元；
（26）工信局：经济运行分析经费12.15万元；中小企业服务工作经费1.8万元；
（27）应急局：应急局办公用房租赁费12万元；安全生产举报奖励1万元；综合（安委办）业务经费33.3万元；
（28）审计局：审计业务经费24.75万元；预留政府投资项目评审经费27万元；
（29）统计局：柳江区第五次全国经济普查经费90万元；统计及调查工作经费29.25万元；
（30）司法局：普查经费25.04万元；“三大纠纷”办案及调处专项经费4.73万元；
（31）纪委：巡察经费29.25万元；纪委综合业务经费45万元；纪委监委大院物业管理费28万元；廉政教育基地维修维护费9万元；
（32）后勤中心：政府视频会议系统租赁服务费47.5万元；青少年活动中心保障费用40万元；综合业务经费21.15万元；区政府办公区发电机组维护费1.5万元；会议用品、日常保洁等费用8万元；地志办修编经费4.86万元；柳江区三轮修志启动专项培训经费2.25万元；
（33）开发区管委：开发区管委综合业务经费27万元；
（34）文广旅局：局机关业务经费10.35万元；文体活动经费20.25万元；全域旅游发展资金75万元；非物质文化遗产工作经费2.25万元；文物保护中心综合业务经费1.8万元；体育中心公共卫生费1.5万元；青少年业余体校综合业务经费4.86万元；广播电视公共服务工作经费0.9万元；
（35）融媒体中心：融媒体中心综合业务经费27万元；
（36）发改局：人防机动指挥通信系统维护经费7.5万元；发改综合业务工作经费（含人防工作经费）29.7万元；重大项目申报及推进协调经费2.25万元；价格认证中心综合业务经费21.87万元；
（37）交通局：道路运输领域安全生产工作经费1万元；
（38）民政局：预留弃尸处理费25万元；特困人员供养服务机构运转维护经费28万元；城市社区惠民项目配套资金198万元；社区居家养老服务中心运营补贴配套经费12.15万元；城镇困难群众脱困解困工作经费9万元；救助、高龄、残疾等民政社会事务管理经费29.25万元；
（39）人社局：工资集体协商业务经费2.7万元；人社局综合业务经费54.81万元；社保事业管理综合业务经费31.5万元；就业服务综合业务经费14.85万元；
（40）人工影响天气管理中心：人工影响天气管理综合业务经费6.96万元；
（41）水利局：水资源建设、维护及工作经费27万元；河长制建设及工作经费59.4万元；
（42）乡村振兴局：开展乡村振兴工作经费31.5万元；
（43）农业农村局：农业农村综合业务经费72.68万元；畜产品质量安全采样监测项目经费13.2万元；农产品质量安全定量检测经费24万元；
（44）退役军人事务局：退役军人事务管理综合业务经费14.85万元；
（45）科技局：科技信息服务与培训工作经费2.25万元；
（46）医疗保障局：医疗保障管理综合业务经费33.75万元；
（47）数管中心：数管平台运行费9万元；
（48）市场监管局：市场监管局综合业务经费45.45万元；
（49）土储中心：土地收购储备工作经费5.67万元；
（50）投促中心：招商引资宣传及指南编制经费7.2万元；预留各项参会费9.9万元；
（51）卫健局：卫健局综合业务经费16.65万元；结核病示范区工作经费9万元；卫生监督综合经费7.65万元；创建卫生城经费100万元；
（52）残联：开展残疾人各项工作所需经费11.25万元；                                                      
（53）商务局：商务综合业务经费11.25万元；服务业发展工作经费4.5万元；
（54）城管局：市容整治综合经费171万元；柳江新城区市政道路环卫市场化外包经费865万元；环卫关爱经费26.49万元；
（55）农业机械化服务中心：综合业务工作经费4.5万元；
（56）财政局：金融办工作经费9万元；国有资产管理经费30万元；预算绩效管理服务费18万元；金财工程大平台网络建设及维护经费132.78万元；办公大楼管理经费154.2万元；
（57）其他单位：农村公益事业财政奖补工作经费9万元；预留化债经费18200万元；人民银行业务补助14.18万元；财政投资项目评审经费180万元；柳江新城管委会业务经费75万元；按标准保障的消防项目经费136.8万元；消防员公用经费100万元。</t>
  </si>
  <si>
    <r>
      <rPr>
        <b/>
        <sz val="10"/>
        <color theme="1"/>
        <rFont val="宋体"/>
        <charset val="134"/>
      </rPr>
      <t>政府性基金预算支出小计</t>
    </r>
  </si>
  <si>
    <t>表六：柳江区2023年国有资本经营预算收支执行情况和2024年国有资本经营收支预算表</t>
  </si>
  <si>
    <r>
      <rPr>
        <sz val="10"/>
        <rFont val="宋体"/>
        <charset val="134"/>
      </rPr>
      <t>金额单位：万元</t>
    </r>
  </si>
  <si>
    <r>
      <rPr>
        <b/>
        <sz val="10"/>
        <rFont val="宋体"/>
        <charset val="134"/>
      </rPr>
      <t>项目</t>
    </r>
  </si>
  <si>
    <r>
      <rPr>
        <b/>
        <sz val="10"/>
        <rFont val="Times New Roman"/>
        <charset val="134"/>
      </rPr>
      <t>2022</t>
    </r>
    <r>
      <rPr>
        <b/>
        <sz val="10"/>
        <rFont val="宋体"/>
        <charset val="134"/>
      </rPr>
      <t>年决算数</t>
    </r>
  </si>
  <si>
    <r>
      <rPr>
        <b/>
        <sz val="10"/>
        <rFont val="宋体"/>
        <charset val="134"/>
      </rPr>
      <t>预算数</t>
    </r>
  </si>
  <si>
    <r>
      <rPr>
        <b/>
        <sz val="10"/>
        <rFont val="文鼎书宋二"/>
        <charset val="134"/>
      </rPr>
      <t>比上年</t>
    </r>
    <r>
      <rPr>
        <b/>
        <sz val="10"/>
        <rFont val="Times New Roman"/>
        <charset val="134"/>
      </rPr>
      <t xml:space="preserve">
</t>
    </r>
    <r>
      <rPr>
        <b/>
        <sz val="10"/>
        <rFont val="Times New Roman"/>
        <charset val="134"/>
      </rPr>
      <t>+</t>
    </r>
    <r>
      <rPr>
        <b/>
        <sz val="10"/>
        <rFont val="文鼎书宋二"/>
        <charset val="134"/>
      </rPr>
      <t>、</t>
    </r>
    <r>
      <rPr>
        <b/>
        <sz val="10"/>
        <rFont val="Times New Roman"/>
        <charset val="134"/>
      </rPr>
      <t>-</t>
    </r>
    <r>
      <rPr>
        <b/>
        <sz val="10"/>
        <rFont val="文鼎书宋二"/>
        <charset val="134"/>
      </rPr>
      <t>（</t>
    </r>
    <r>
      <rPr>
        <b/>
        <sz val="10"/>
        <rFont val="Times New Roman"/>
        <charset val="134"/>
      </rPr>
      <t>%</t>
    </r>
    <r>
      <rPr>
        <b/>
        <sz val="10"/>
        <rFont val="文鼎书宋二"/>
        <charset val="134"/>
      </rPr>
      <t>）</t>
    </r>
  </si>
  <si>
    <r>
      <rPr>
        <sz val="10"/>
        <rFont val="宋体"/>
        <charset val="134"/>
      </rPr>
      <t>一、股利、股息收入</t>
    </r>
  </si>
  <si>
    <t>二、其他国有资本经营收入</t>
  </si>
  <si>
    <t>国有资本经营预算收入小计</t>
  </si>
  <si>
    <r>
      <rPr>
        <sz val="10"/>
        <rFont val="Times New Roman"/>
        <charset val="134"/>
      </rPr>
      <t xml:space="preserve">    </t>
    </r>
    <r>
      <rPr>
        <sz val="10"/>
        <rFont val="宋体"/>
        <charset val="134"/>
      </rPr>
      <t>转移性收入</t>
    </r>
  </si>
  <si>
    <r>
      <rPr>
        <sz val="10"/>
        <rFont val="Times New Roman"/>
        <charset val="134"/>
      </rPr>
      <t xml:space="preserve">        </t>
    </r>
    <r>
      <rPr>
        <sz val="10"/>
        <rFont val="宋体"/>
        <charset val="134"/>
      </rPr>
      <t>上级补助收入</t>
    </r>
  </si>
  <si>
    <r>
      <rPr>
        <sz val="10"/>
        <rFont val="Times New Roman"/>
        <charset val="134"/>
      </rPr>
      <t xml:space="preserve">        </t>
    </r>
    <r>
      <rPr>
        <sz val="10"/>
        <rFont val="宋体"/>
        <charset val="134"/>
      </rPr>
      <t>上年结余收入</t>
    </r>
  </si>
  <si>
    <t>一、解决历史遗留问题及改革成本支出</t>
  </si>
  <si>
    <r>
      <rPr>
        <sz val="10"/>
        <rFont val="宋体"/>
        <charset val="134"/>
      </rPr>
      <t>二、其他国有资本经营预算支出</t>
    </r>
  </si>
  <si>
    <t>国有资本经营预算支出小计</t>
  </si>
  <si>
    <r>
      <rPr>
        <sz val="10"/>
        <rFont val="Times New Roman"/>
        <charset val="134"/>
      </rPr>
      <t xml:space="preserve">   </t>
    </r>
    <r>
      <rPr>
        <sz val="10"/>
        <rFont val="宋体"/>
        <charset val="134"/>
      </rPr>
      <t>转移性支出</t>
    </r>
  </si>
  <si>
    <t xml:space="preserve">   调出资金</t>
  </si>
  <si>
    <r>
      <rPr>
        <sz val="10"/>
        <rFont val="Times New Roman"/>
        <charset val="134"/>
      </rPr>
      <t xml:space="preserve">       </t>
    </r>
    <r>
      <rPr>
        <sz val="10"/>
        <rFont val="宋体"/>
        <charset val="134"/>
      </rPr>
      <t>年终结余</t>
    </r>
  </si>
  <si>
    <t>表七：柳江区2023年社会保险基金预算收支执行情况和2024年社会保险基金收支预算表</t>
  </si>
  <si>
    <t>项     目</t>
  </si>
  <si>
    <t>一、本年收入合计</t>
  </si>
  <si>
    <t>（一）城乡居民基本养老保险收入</t>
  </si>
  <si>
    <r>
      <rPr>
        <sz val="10"/>
        <color indexed="8"/>
        <rFont val="Times New Roman"/>
        <charset val="134"/>
      </rPr>
      <t xml:space="preserve">    </t>
    </r>
    <r>
      <rPr>
        <sz val="10"/>
        <color indexed="8"/>
        <rFont val="宋体"/>
        <charset val="134"/>
      </rPr>
      <t>其中：保险费收入</t>
    </r>
  </si>
  <si>
    <r>
      <rPr>
        <sz val="10"/>
        <color indexed="8"/>
        <rFont val="Times New Roman"/>
        <charset val="134"/>
      </rPr>
      <t xml:space="preserve">                  财政补贴收入</t>
    </r>
  </si>
  <si>
    <r>
      <rPr>
        <sz val="10"/>
        <color indexed="8"/>
        <rFont val="Times New Roman"/>
        <charset val="134"/>
      </rPr>
      <t xml:space="preserve">                 </t>
    </r>
    <r>
      <rPr>
        <sz val="10"/>
        <color indexed="8"/>
        <rFont val="宋体"/>
        <charset val="134"/>
      </rPr>
      <t>利息收入</t>
    </r>
  </si>
  <si>
    <r>
      <rPr>
        <sz val="10"/>
        <color indexed="8"/>
        <rFont val="Times New Roman"/>
        <charset val="134"/>
      </rPr>
      <t xml:space="preserve">                 </t>
    </r>
    <r>
      <rPr>
        <sz val="10"/>
        <color indexed="8"/>
        <rFont val="宋体"/>
        <charset val="134"/>
      </rPr>
      <t>其他收入</t>
    </r>
  </si>
  <si>
    <r>
      <rPr>
        <sz val="10"/>
        <color indexed="8"/>
        <rFont val="Times New Roman"/>
        <charset val="134"/>
      </rPr>
      <t xml:space="preserve">                 </t>
    </r>
    <r>
      <rPr>
        <sz val="10"/>
        <color indexed="8"/>
        <rFont val="宋体"/>
        <charset val="134"/>
      </rPr>
      <t>转移收入</t>
    </r>
  </si>
  <si>
    <t xml:space="preserve">       委托投资收益</t>
  </si>
  <si>
    <t>（二）机关事业单位基本养老保险基金收入</t>
  </si>
  <si>
    <t>二、本年支出合计</t>
  </si>
  <si>
    <t>（一）城乡居民基本养老保险基金支出</t>
  </si>
  <si>
    <r>
      <rPr>
        <sz val="10"/>
        <color indexed="8"/>
        <rFont val="Times New Roman"/>
        <charset val="134"/>
      </rPr>
      <t xml:space="preserve">     </t>
    </r>
    <r>
      <rPr>
        <sz val="10"/>
        <color indexed="8"/>
        <rFont val="宋体"/>
        <charset val="134"/>
      </rPr>
      <t>其中：社会保险待遇支出</t>
    </r>
  </si>
  <si>
    <r>
      <rPr>
        <sz val="10"/>
        <color indexed="8"/>
        <rFont val="Times New Roman"/>
        <charset val="134"/>
      </rPr>
      <t xml:space="preserve">                  </t>
    </r>
    <r>
      <rPr>
        <sz val="10"/>
        <color indexed="8"/>
        <rFont val="宋体"/>
        <charset val="134"/>
      </rPr>
      <t>转移支出</t>
    </r>
  </si>
  <si>
    <t xml:space="preserve">        其他支出</t>
  </si>
  <si>
    <t>（二）机关事业单位基本养老保险基金支出</t>
  </si>
  <si>
    <t>三、本年收支结余合计</t>
  </si>
  <si>
    <t>（一）城乡居民基本养老保险基金本年结余</t>
  </si>
  <si>
    <t>（二）机关事业单位基本养老保险基金本年结余</t>
  </si>
  <si>
    <t>四、上年结余合计</t>
  </si>
  <si>
    <t>（一）城乡居民基本养老保险基金上年结余</t>
  </si>
  <si>
    <t>（二）机关事业单位基本养老保险基金上年结余</t>
  </si>
  <si>
    <t>五、年末累计结余合计</t>
  </si>
  <si>
    <t>（一）城乡居民基本养老保险基金累计结余</t>
  </si>
  <si>
    <t>（二）机关事业单位基本养老保险基金累计结余</t>
  </si>
  <si>
    <t>总收入</t>
  </si>
  <si>
    <t>上级</t>
  </si>
  <si>
    <t>债券收入</t>
  </si>
  <si>
    <t>结余</t>
  </si>
</sst>
</file>

<file path=xl/styles.xml><?xml version="1.0" encoding="utf-8"?>
<styleSheet xmlns="http://schemas.openxmlformats.org/spreadsheetml/2006/main">
  <numFmts count="37">
    <numFmt numFmtId="42" formatCode="_ &quot;￥&quot;* #,##0_ ;_ &quot;￥&quot;* \-#,##0_ ;_ &quot;￥&quot;* &quot;-&quot;_ ;_ @_ "/>
    <numFmt numFmtId="176" formatCode="#,##0;\-#,##0;&quot;-&quot;"/>
    <numFmt numFmtId="177" formatCode="yy\.mm\.dd"/>
    <numFmt numFmtId="44" formatCode="_ &quot;￥&quot;* #,##0.00_ ;_ &quot;￥&quot;* \-#,##0.00_ ;_ &quot;￥&quot;* &quot;-&quot;??_ ;_ @_ "/>
    <numFmt numFmtId="178" formatCode="\$#,##0.00;\(\$#,##0.00\)"/>
    <numFmt numFmtId="179" formatCode="0.000000_ "/>
    <numFmt numFmtId="180" formatCode="_(&quot;$&quot;* #,##0.00_);_(&quot;$&quot;* \(#,##0.00\);_(&quot;$&quot;* &quot;-&quot;??_);_(@_)"/>
    <numFmt numFmtId="41" formatCode="_ * #,##0_ ;_ * \-#,##0_ ;_ * &quot;-&quot;_ ;_ @_ "/>
    <numFmt numFmtId="181" formatCode="#,##0.0_);\(#,##0.0\)"/>
    <numFmt numFmtId="43" formatCode="_ * #,##0.00_ ;_ * \-#,##0.00_ ;_ * &quot;-&quot;??_ ;_ @_ "/>
    <numFmt numFmtId="182" formatCode="_(&quot;$&quot;* #,##0_);_(&quot;$&quot;* \(#,##0\);_(&quot;$&quot;* &quot;-&quot;_);_(@_)"/>
    <numFmt numFmtId="183" formatCode="#,##0.0_ "/>
    <numFmt numFmtId="184" formatCode="_-&quot;$&quot;\ * #,##0_-;_-&quot;$&quot;\ * #,##0\-;_-&quot;$&quot;\ * &quot;-&quot;_-;_-@_-"/>
    <numFmt numFmtId="185" formatCode="_-* #,##0_$_-;\-* #,##0_$_-;_-* &quot;-&quot;_$_-;_-@_-"/>
    <numFmt numFmtId="186" formatCode="&quot;$&quot;#,##0.00_);[Red]\(&quot;$&quot;#,##0.00\)"/>
    <numFmt numFmtId="187" formatCode="_-&quot;$&quot;* #,##0_-;\-&quot;$&quot;* #,##0_-;_-&quot;$&quot;* &quot;-&quot;_-;_-@_-"/>
    <numFmt numFmtId="188" formatCode="&quot;$&quot;#,##0_);[Red]\(&quot;$&quot;#,##0\)"/>
    <numFmt numFmtId="189" formatCode="&quot;$&quot;\ #,##0.00_-;[Red]&quot;$&quot;\ #,##0.00\-"/>
    <numFmt numFmtId="190" formatCode="_-* #,##0&quot;$&quot;_-;\-* #,##0&quot;$&quot;_-;_-* &quot;-&quot;&quot;$&quot;_-;_-@_-"/>
    <numFmt numFmtId="191" formatCode="_-&quot;$&quot;\ * #,##0.00_-;_-&quot;$&quot;\ * #,##0.00\-;_-&quot;$&quot;\ * &quot;-&quot;??_-;_-@_-"/>
    <numFmt numFmtId="192" formatCode="\$#,##0;\(\$#,##0\)"/>
    <numFmt numFmtId="193" formatCode="#\ ??/??"/>
    <numFmt numFmtId="194" formatCode="#,##0;\(#,##0\)"/>
    <numFmt numFmtId="195" formatCode="_-* #,##0.00_-;\-* #,##0.00_-;_-* &quot;-&quot;??_-;_-@_-"/>
    <numFmt numFmtId="196" formatCode="0.0000000_ "/>
    <numFmt numFmtId="197" formatCode="0_ "/>
    <numFmt numFmtId="198" formatCode="* #,##0.00;* \-#,##0.00;* &quot;-&quot;??;@"/>
    <numFmt numFmtId="199" formatCode="0.0"/>
    <numFmt numFmtId="200" formatCode="_-* #,##0.00_$_-;\-* #,##0.00_$_-;_-* &quot;-&quot;??_$_-;_-@_-"/>
    <numFmt numFmtId="201" formatCode="_-* #,##0.00&quot;$&quot;_-;\-* #,##0.00&quot;$&quot;_-;_-* &quot;-&quot;??&quot;$&quot;_-;_-@_-"/>
    <numFmt numFmtId="202" formatCode="0.0_ "/>
    <numFmt numFmtId="203" formatCode="#,##0_ "/>
    <numFmt numFmtId="204" formatCode="_ * #,##0_ ;_ * \-#,##0_ ;_ * &quot;-&quot;??_ ;_ @_ "/>
    <numFmt numFmtId="205" formatCode="#,##0_);[Red]\(#,##0\)"/>
    <numFmt numFmtId="206" formatCode="0.00_ "/>
    <numFmt numFmtId="207" formatCode="#,##0.0000_ "/>
    <numFmt numFmtId="208" formatCode="0.00000_ "/>
  </numFmts>
  <fonts count="148">
    <font>
      <sz val="12"/>
      <name val="宋体"/>
      <charset val="134"/>
    </font>
    <font>
      <sz val="11"/>
      <color indexed="8"/>
      <name val="宋体"/>
      <charset val="134"/>
    </font>
    <font>
      <b/>
      <sz val="11"/>
      <color indexed="8"/>
      <name val="宋体"/>
      <charset val="134"/>
    </font>
    <font>
      <b/>
      <sz val="14"/>
      <name val="宋体"/>
      <charset val="134"/>
    </font>
    <font>
      <sz val="10"/>
      <name val="宋体"/>
      <charset val="134"/>
    </font>
    <font>
      <sz val="10"/>
      <name val="Times New Roman"/>
      <charset val="134"/>
    </font>
    <font>
      <b/>
      <sz val="10"/>
      <color indexed="8"/>
      <name val="宋体"/>
      <charset val="134"/>
    </font>
    <font>
      <b/>
      <sz val="10"/>
      <name val="Times New Roman"/>
      <charset val="134"/>
    </font>
    <font>
      <b/>
      <sz val="10"/>
      <name val="文鼎书宋二"/>
      <charset val="134"/>
    </font>
    <font>
      <b/>
      <sz val="10"/>
      <color indexed="8"/>
      <name val="Times New Roman"/>
      <charset val="134"/>
    </font>
    <font>
      <b/>
      <sz val="10"/>
      <color theme="1"/>
      <name val="宋体"/>
      <charset val="134"/>
      <scheme val="minor"/>
    </font>
    <font>
      <sz val="10"/>
      <color indexed="8"/>
      <name val="Times New Roman"/>
      <charset val="134"/>
    </font>
    <font>
      <sz val="10"/>
      <color indexed="8"/>
      <name val="宋体"/>
      <charset val="134"/>
    </font>
    <font>
      <sz val="11"/>
      <name val="Times New Roman"/>
      <charset val="134"/>
    </font>
    <font>
      <sz val="10"/>
      <color rgb="FF000000"/>
      <name val="宋体"/>
      <charset val="134"/>
    </font>
    <font>
      <sz val="10"/>
      <color theme="1"/>
      <name val="宋体"/>
      <charset val="134"/>
      <scheme val="minor"/>
    </font>
    <font>
      <sz val="12"/>
      <name val="Times New Roman"/>
      <charset val="134"/>
    </font>
    <font>
      <b/>
      <sz val="14"/>
      <name val="Times New Roman"/>
      <charset val="134"/>
    </font>
    <font>
      <b/>
      <sz val="10"/>
      <name val="宋体"/>
      <charset val="134"/>
    </font>
    <font>
      <sz val="12"/>
      <color theme="1"/>
      <name val="Times New Roman"/>
      <charset val="134"/>
    </font>
    <font>
      <b/>
      <sz val="10"/>
      <color theme="1"/>
      <name val="Times New Roman"/>
      <charset val="134"/>
    </font>
    <font>
      <sz val="10"/>
      <color theme="1"/>
      <name val="Times New Roman"/>
      <charset val="134"/>
    </font>
    <font>
      <b/>
      <sz val="14"/>
      <color rgb="FF000000"/>
      <name val="宋体"/>
      <charset val="134"/>
    </font>
    <font>
      <b/>
      <sz val="14"/>
      <color theme="1"/>
      <name val="Times New Roman"/>
      <charset val="134"/>
    </font>
    <font>
      <b/>
      <sz val="10"/>
      <color theme="1"/>
      <name val="宋体"/>
      <charset val="134"/>
    </font>
    <font>
      <sz val="9"/>
      <name val="Times New Roman"/>
      <charset val="134"/>
    </font>
    <font>
      <sz val="9"/>
      <name val="宋体"/>
      <charset val="134"/>
    </font>
    <font>
      <sz val="10"/>
      <name val="Arial"/>
      <charset val="134"/>
    </font>
    <font>
      <b/>
      <sz val="10"/>
      <name val="Arial"/>
      <charset val="134"/>
    </font>
    <font>
      <sz val="10"/>
      <name val="文鼎书宋二"/>
      <charset val="134"/>
    </font>
    <font>
      <sz val="10"/>
      <color rgb="FFFF0000"/>
      <name val="Times New Roman"/>
      <charset val="134"/>
    </font>
    <font>
      <b/>
      <sz val="12"/>
      <name val="宋体"/>
      <charset val="134"/>
    </font>
    <font>
      <b/>
      <sz val="14"/>
      <name val="文鼎书宋二"/>
      <charset val="134"/>
    </font>
    <font>
      <b/>
      <sz val="12"/>
      <color theme="1"/>
      <name val="Times New Roman"/>
      <charset val="134"/>
    </font>
    <font>
      <b/>
      <sz val="12"/>
      <name val="Times New Roman"/>
      <charset val="134"/>
    </font>
    <font>
      <sz val="14"/>
      <name val="Times New Roman"/>
      <charset val="134"/>
    </font>
    <font>
      <sz val="10"/>
      <name val="宋体"/>
      <charset val="134"/>
      <scheme val="minor"/>
    </font>
    <font>
      <sz val="12"/>
      <color theme="1"/>
      <name val="宋体"/>
      <charset val="134"/>
    </font>
    <font>
      <sz val="11"/>
      <name val="宋体"/>
      <charset val="134"/>
      <scheme val="minor"/>
    </font>
    <font>
      <sz val="9"/>
      <color theme="1"/>
      <name val="Times New Roman"/>
      <charset val="134"/>
    </font>
    <font>
      <b/>
      <sz val="9"/>
      <name val="Times New Roman"/>
      <charset val="134"/>
    </font>
    <font>
      <sz val="10"/>
      <color theme="1"/>
      <name val="宋体"/>
      <charset val="134"/>
    </font>
    <font>
      <b/>
      <sz val="9"/>
      <name val="宋体"/>
      <charset val="134"/>
    </font>
    <font>
      <sz val="10"/>
      <color theme="1"/>
      <name val="Arial"/>
      <charset val="134"/>
    </font>
    <font>
      <sz val="10"/>
      <color rgb="FF000000"/>
      <name val="Times New Roman"/>
      <charset val="134"/>
    </font>
    <font>
      <sz val="11"/>
      <color theme="1"/>
      <name val="宋体"/>
      <charset val="134"/>
      <scheme val="minor"/>
    </font>
    <font>
      <sz val="22"/>
      <name val="方正小标宋简体"/>
      <charset val="134"/>
    </font>
    <font>
      <sz val="16"/>
      <color theme="1"/>
      <name val="宋体"/>
      <charset val="134"/>
      <scheme val="minor"/>
    </font>
    <font>
      <sz val="18"/>
      <color theme="1"/>
      <name val="宋体"/>
      <charset val="134"/>
      <scheme val="minor"/>
    </font>
    <font>
      <sz val="18"/>
      <name val="方正仿宋_GBK"/>
      <charset val="134"/>
    </font>
    <font>
      <sz val="18"/>
      <name val="宋体"/>
      <charset val="134"/>
      <scheme val="minor"/>
    </font>
    <font>
      <u/>
      <sz val="11"/>
      <color rgb="FF0000FF"/>
      <name val="宋体"/>
      <charset val="0"/>
      <scheme val="minor"/>
    </font>
    <font>
      <sz val="11"/>
      <color indexed="20"/>
      <name val="宋体"/>
      <charset val="134"/>
    </font>
    <font>
      <sz val="11"/>
      <color rgb="FF3F3F76"/>
      <name val="宋体"/>
      <charset val="0"/>
      <scheme val="minor"/>
    </font>
    <font>
      <b/>
      <sz val="18"/>
      <color indexed="56"/>
      <name val="宋体"/>
      <charset val="134"/>
    </font>
    <font>
      <b/>
      <sz val="11"/>
      <color indexed="56"/>
      <name val="楷体_GB2312"/>
      <charset val="134"/>
    </font>
    <font>
      <sz val="12"/>
      <color indexed="20"/>
      <name val="宋体"/>
      <charset val="134"/>
    </font>
    <font>
      <sz val="11"/>
      <name val="宋体"/>
      <charset val="134"/>
    </font>
    <font>
      <sz val="11"/>
      <color indexed="17"/>
      <name val="宋体"/>
      <charset val="134"/>
    </font>
    <font>
      <sz val="11"/>
      <color theme="0"/>
      <name val="宋体"/>
      <charset val="0"/>
      <scheme val="minor"/>
    </font>
    <font>
      <sz val="12"/>
      <color indexed="17"/>
      <name val="楷体_GB2312"/>
      <charset val="134"/>
    </font>
    <font>
      <sz val="12"/>
      <color indexed="17"/>
      <name val="宋体"/>
      <charset val="134"/>
    </font>
    <font>
      <b/>
      <i/>
      <sz val="16"/>
      <name val="Helv"/>
      <charset val="134"/>
    </font>
    <font>
      <sz val="12"/>
      <color indexed="20"/>
      <name val="楷体_GB2312"/>
      <charset val="134"/>
    </font>
    <font>
      <sz val="11"/>
      <color theme="1"/>
      <name val="宋体"/>
      <charset val="0"/>
      <scheme val="minor"/>
    </font>
    <font>
      <sz val="11"/>
      <color indexed="8"/>
      <name val="Calibri"/>
      <charset val="134"/>
    </font>
    <font>
      <sz val="12"/>
      <color indexed="8"/>
      <name val="楷体_GB2312"/>
      <charset val="134"/>
    </font>
    <font>
      <sz val="12"/>
      <color indexed="8"/>
      <name val="宋体"/>
      <charset val="134"/>
    </font>
    <font>
      <sz val="11"/>
      <color indexed="62"/>
      <name val="Calibri"/>
      <charset val="134"/>
    </font>
    <font>
      <sz val="11"/>
      <color indexed="9"/>
      <name val="Calibri"/>
      <charset val="134"/>
    </font>
    <font>
      <b/>
      <sz val="15"/>
      <color theme="3"/>
      <name val="宋体"/>
      <charset val="134"/>
      <scheme val="minor"/>
    </font>
    <font>
      <b/>
      <sz val="10"/>
      <name val="Tms Rmn"/>
      <charset val="134"/>
    </font>
    <font>
      <sz val="12"/>
      <color indexed="9"/>
      <name val="楷体_GB2312"/>
      <charset val="134"/>
    </font>
    <font>
      <sz val="12"/>
      <color indexed="16"/>
      <name val="宋体"/>
      <charset val="134"/>
    </font>
    <font>
      <sz val="12"/>
      <color indexed="9"/>
      <name val="宋体"/>
      <charset val="134"/>
    </font>
    <font>
      <sz val="12"/>
      <color indexed="62"/>
      <name val="楷体_GB2312"/>
      <charset val="134"/>
    </font>
    <font>
      <sz val="10.5"/>
      <color indexed="20"/>
      <name val="宋体"/>
      <charset val="134"/>
    </font>
    <font>
      <sz val="8"/>
      <name val="Times New Roman"/>
      <charset val="134"/>
    </font>
    <font>
      <sz val="10"/>
      <name val="Helv"/>
      <charset val="134"/>
    </font>
    <font>
      <sz val="12"/>
      <color indexed="17"/>
      <name val="仿宋_GB2312"/>
      <charset val="134"/>
    </font>
    <font>
      <sz val="11"/>
      <color rgb="FF9C0006"/>
      <name val="宋体"/>
      <charset val="0"/>
      <scheme val="minor"/>
    </font>
    <font>
      <sz val="10.5"/>
      <color indexed="17"/>
      <name val="宋体"/>
      <charset val="134"/>
    </font>
    <font>
      <sz val="11"/>
      <color rgb="FFFF0000"/>
      <name val="宋体"/>
      <charset val="0"/>
      <scheme val="minor"/>
    </font>
    <font>
      <sz val="11"/>
      <color indexed="52"/>
      <name val="Calibri"/>
      <charset val="134"/>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0"/>
      <name val="MS Sans Serif"/>
      <charset val="134"/>
    </font>
    <font>
      <b/>
      <sz val="11"/>
      <color rgb="FFFFFFFF"/>
      <name val="宋体"/>
      <charset val="0"/>
      <scheme val="minor"/>
    </font>
    <font>
      <sz val="8"/>
      <name val="Arial"/>
      <charset val="134"/>
    </font>
    <font>
      <sz val="11"/>
      <color rgb="FFFA7D00"/>
      <name val="宋体"/>
      <charset val="0"/>
      <scheme val="minor"/>
    </font>
    <font>
      <sz val="11"/>
      <color rgb="FF006100"/>
      <name val="宋体"/>
      <charset val="0"/>
      <scheme val="minor"/>
    </font>
    <font>
      <b/>
      <sz val="11"/>
      <color indexed="56"/>
      <name val="Calibri"/>
      <charset val="134"/>
    </font>
    <font>
      <sz val="12"/>
      <name val="바탕체"/>
      <charset val="134"/>
    </font>
    <font>
      <sz val="11"/>
      <color rgb="FF9C6500"/>
      <name val="宋体"/>
      <charset val="0"/>
      <scheme val="minor"/>
    </font>
    <font>
      <b/>
      <sz val="15"/>
      <color indexed="56"/>
      <name val="Calibri"/>
      <charset val="134"/>
    </font>
    <font>
      <sz val="12"/>
      <color indexed="20"/>
      <name val="仿宋_GB2312"/>
      <charset val="134"/>
    </font>
    <font>
      <b/>
      <sz val="12"/>
      <color indexed="63"/>
      <name val="楷体_GB2312"/>
      <charset val="134"/>
    </font>
    <font>
      <sz val="11"/>
      <name val="ＭＳ Ｐゴシック"/>
      <charset val="134"/>
    </font>
    <font>
      <sz val="10"/>
      <name val="Geneva"/>
      <charset val="134"/>
    </font>
    <font>
      <b/>
      <sz val="13"/>
      <color indexed="56"/>
      <name val="Calibri"/>
      <charset val="134"/>
    </font>
    <font>
      <sz val="12"/>
      <color indexed="10"/>
      <name val="楷体_GB2312"/>
      <charset val="134"/>
    </font>
    <font>
      <sz val="10"/>
      <name val="楷体"/>
      <charset val="134"/>
    </font>
    <font>
      <sz val="11"/>
      <color indexed="60"/>
      <name val="Calibri"/>
      <charset val="134"/>
    </font>
    <font>
      <b/>
      <sz val="18"/>
      <name val="Arial"/>
      <charset val="134"/>
    </font>
    <font>
      <sz val="11"/>
      <color indexed="20"/>
      <name val="Calibri"/>
      <charset val="134"/>
    </font>
    <font>
      <b/>
      <sz val="12"/>
      <name val="Arial"/>
      <charset val="134"/>
    </font>
    <font>
      <sz val="11"/>
      <color indexed="17"/>
      <name val="Calibri"/>
      <charset val="134"/>
    </font>
    <font>
      <b/>
      <sz val="11"/>
      <color indexed="52"/>
      <name val="Calibri"/>
      <charset val="134"/>
    </font>
    <font>
      <sz val="12"/>
      <name val="Arial"/>
      <charset val="134"/>
    </font>
    <font>
      <sz val="10"/>
      <color indexed="8"/>
      <name val="Arial"/>
      <charset val="134"/>
    </font>
    <font>
      <sz val="12"/>
      <name val="Helv"/>
      <charset val="134"/>
    </font>
    <font>
      <b/>
      <sz val="9"/>
      <name val="Arial"/>
      <charset val="134"/>
    </font>
    <font>
      <b/>
      <sz val="10"/>
      <name val="MS Sans Serif"/>
      <charset val="134"/>
    </font>
    <font>
      <b/>
      <sz val="11"/>
      <color indexed="9"/>
      <name val="Calibri"/>
      <charset val="134"/>
    </font>
    <font>
      <sz val="12"/>
      <color indexed="9"/>
      <name val="Helv"/>
      <charset val="134"/>
    </font>
    <font>
      <i/>
      <sz val="11"/>
      <color indexed="23"/>
      <name val="Calibri"/>
      <charset val="134"/>
    </font>
    <font>
      <b/>
      <sz val="13"/>
      <color indexed="56"/>
      <name val="楷体_GB2312"/>
      <charset val="134"/>
    </font>
    <font>
      <sz val="12"/>
      <name val="官帕眉"/>
      <charset val="134"/>
    </font>
    <font>
      <sz val="7"/>
      <name val="Small Fonts"/>
      <charset val="134"/>
    </font>
    <font>
      <b/>
      <sz val="11"/>
      <color indexed="63"/>
      <name val="Calibri"/>
      <charset val="134"/>
    </font>
    <font>
      <sz val="10"/>
      <color indexed="8"/>
      <name val="MS Sans Serif"/>
      <charset val="134"/>
    </font>
    <font>
      <b/>
      <sz val="18"/>
      <color indexed="56"/>
      <name val="Cambria"/>
      <charset val="134"/>
    </font>
    <font>
      <b/>
      <sz val="11"/>
      <color indexed="8"/>
      <name val="Calibri"/>
      <charset val="134"/>
    </font>
    <font>
      <sz val="11"/>
      <color indexed="10"/>
      <name val="Calibri"/>
      <charset val="134"/>
    </font>
    <font>
      <b/>
      <sz val="15"/>
      <color indexed="56"/>
      <name val="楷体_GB2312"/>
      <charset val="134"/>
    </font>
    <font>
      <b/>
      <sz val="14"/>
      <name val="楷体"/>
      <charset val="134"/>
    </font>
    <font>
      <u/>
      <sz val="12"/>
      <color indexed="12"/>
      <name val="宋体"/>
      <charset val="134"/>
    </font>
    <font>
      <i/>
      <sz val="12"/>
      <color indexed="23"/>
      <name val="楷体_GB2312"/>
      <charset val="134"/>
    </font>
    <font>
      <b/>
      <sz val="12"/>
      <color indexed="8"/>
      <name val="宋体"/>
      <charset val="134"/>
    </font>
    <font>
      <b/>
      <sz val="12"/>
      <color indexed="8"/>
      <name val="楷体_GB2312"/>
      <charset val="134"/>
    </font>
    <font>
      <u/>
      <sz val="12"/>
      <color indexed="36"/>
      <name val="宋体"/>
      <charset val="134"/>
    </font>
    <font>
      <sz val="12"/>
      <color indexed="52"/>
      <name val="楷体_GB2312"/>
      <charset val="134"/>
    </font>
    <font>
      <b/>
      <sz val="12"/>
      <color indexed="52"/>
      <name val="楷体_GB2312"/>
      <charset val="134"/>
    </font>
    <font>
      <b/>
      <sz val="12"/>
      <color indexed="9"/>
      <name val="楷体_GB2312"/>
      <charset val="134"/>
    </font>
    <font>
      <sz val="12"/>
      <color indexed="60"/>
      <name val="楷体_GB2312"/>
      <charset val="134"/>
    </font>
    <font>
      <sz val="12"/>
      <name val="Courier"/>
      <charset val="134"/>
    </font>
    <font>
      <b/>
      <sz val="14"/>
      <color rgb="FF000000"/>
      <name val="Times New Roman"/>
      <charset val="134"/>
    </font>
    <font>
      <sz val="10"/>
      <color indexed="8"/>
      <name val="文鼎书宋二"/>
      <charset val="134"/>
    </font>
    <font>
      <sz val="9"/>
      <name val="宋体"/>
      <charset val="134"/>
    </font>
    <font>
      <b/>
      <sz val="9"/>
      <name val="宋体"/>
      <charset val="134"/>
    </font>
    <font>
      <b/>
      <sz val="9"/>
      <name val="Tahoma"/>
      <charset val="134"/>
    </font>
    <font>
      <sz val="9"/>
      <name val="Tahoma"/>
      <charset val="134"/>
    </font>
  </fonts>
  <fills count="7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indexed="46"/>
        <bgColor indexed="64"/>
      </patternFill>
    </fill>
    <fill>
      <patternFill patternType="solid">
        <fgColor rgb="FFFFCC99"/>
        <bgColor indexed="64"/>
      </patternFill>
    </fill>
    <fill>
      <patternFill patternType="solid">
        <fgColor indexed="45"/>
        <bgColor indexed="64"/>
      </patternFill>
    </fill>
    <fill>
      <patternFill patternType="solid">
        <fgColor indexed="27"/>
        <bgColor indexed="64"/>
      </patternFill>
    </fill>
    <fill>
      <patternFill patternType="solid">
        <fgColor theme="7" tint="0.399975585192419"/>
        <bgColor indexed="64"/>
      </patternFill>
    </fill>
    <fill>
      <patternFill patternType="solid">
        <fgColor indexed="4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47"/>
        <bgColor indexed="64"/>
      </patternFill>
    </fill>
    <fill>
      <patternFill patternType="solid">
        <fgColor indexed="11"/>
        <bgColor indexed="64"/>
      </patternFill>
    </fill>
    <fill>
      <patternFill patternType="solid">
        <fgColor indexed="47"/>
        <bgColor indexed="47"/>
      </patternFill>
    </fill>
    <fill>
      <patternFill patternType="solid">
        <fgColor indexed="42"/>
        <bgColor indexed="42"/>
      </patternFill>
    </fill>
    <fill>
      <patternFill patternType="solid">
        <fgColor indexed="44"/>
        <bgColor indexed="44"/>
      </patternFill>
    </fill>
    <fill>
      <patternFill patternType="solid">
        <fgColor indexed="10"/>
        <bgColor indexed="64"/>
      </patternFill>
    </fill>
    <fill>
      <patternFill patternType="gray0625"/>
    </fill>
    <fill>
      <patternFill patternType="solid">
        <fgColor indexed="29"/>
        <bgColor indexed="64"/>
      </patternFill>
    </fill>
    <fill>
      <patternFill patternType="solid">
        <fgColor indexed="30"/>
        <bgColor indexed="64"/>
      </patternFill>
    </fill>
    <fill>
      <patternFill patternType="solid">
        <fgColor theme="4" tint="0.599993896298105"/>
        <bgColor indexed="64"/>
      </patternFill>
    </fill>
    <fill>
      <patternFill patternType="solid">
        <fgColor indexed="49"/>
        <bgColor indexed="64"/>
      </patternFill>
    </fill>
    <fill>
      <patternFill patternType="solid">
        <fgColor theme="7" tint="0.599993896298105"/>
        <bgColor indexed="64"/>
      </patternFill>
    </fill>
    <fill>
      <patternFill patternType="solid">
        <fgColor indexed="45"/>
        <bgColor indexed="45"/>
      </patternFill>
    </fill>
    <fill>
      <patternFill patternType="solid">
        <fgColor indexed="57"/>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55"/>
        <bgColor indexed="55"/>
      </patternFill>
    </fill>
    <fill>
      <patternFill patternType="solid">
        <fgColor indexed="22"/>
        <bgColor indexed="22"/>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2"/>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22"/>
        <bgColor indexed="64"/>
      </patternFill>
    </fill>
    <fill>
      <patternFill patternType="solid">
        <fgColor indexed="27"/>
        <bgColor indexed="27"/>
      </patternFill>
    </fill>
    <fill>
      <patternFill patternType="solid">
        <fgColor theme="9"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36"/>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43"/>
        <bgColor indexed="64"/>
      </patternFill>
    </fill>
    <fill>
      <patternFill patternType="solid">
        <fgColor indexed="43"/>
        <bgColor indexed="43"/>
      </patternFill>
    </fill>
    <fill>
      <patternFill patternType="solid">
        <fgColor indexed="53"/>
        <bgColor indexed="64"/>
      </patternFill>
    </fill>
    <fill>
      <patternFill patternType="solid">
        <fgColor indexed="26"/>
        <bgColor indexed="26"/>
      </patternFill>
    </fill>
    <fill>
      <patternFill patternType="solid">
        <fgColor indexed="15"/>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mediumGray">
        <fgColor indexed="22"/>
      </patternFill>
    </fill>
    <fill>
      <patternFill patternType="lightUp">
        <fgColor indexed="9"/>
        <bgColor indexed="53"/>
      </patternFill>
    </fill>
    <fill>
      <patternFill patternType="lightUp">
        <fgColor indexed="9"/>
        <bgColor indexed="55"/>
      </patternFill>
    </fill>
    <fill>
      <patternFill patternType="lightUp">
        <fgColor indexed="9"/>
        <bgColor indexed="22"/>
      </patternFill>
    </fill>
  </fills>
  <borders count="3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auto="1"/>
      </left>
      <right style="thin">
        <color auto="1"/>
      </right>
      <top/>
      <bottom/>
      <diagonal/>
    </border>
    <border>
      <left/>
      <right style="thin">
        <color auto="1"/>
      </right>
      <top/>
      <bottom style="thin">
        <color auto="1"/>
      </bottom>
      <diagonal/>
    </border>
    <border>
      <left/>
      <right/>
      <top/>
      <bottom style="double">
        <color indexed="5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1130">
    <xf numFmtId="0" fontId="0" fillId="0" borderId="0"/>
    <xf numFmtId="42" fontId="45" fillId="0" borderId="0" applyFont="0" applyFill="0" applyBorder="0" applyAlignment="0" applyProtection="0">
      <alignment vertical="center"/>
    </xf>
    <xf numFmtId="0" fontId="52" fillId="4" borderId="0" applyNumberFormat="0" applyBorder="0" applyAlignment="0" applyProtection="0">
      <alignment vertical="center"/>
    </xf>
    <xf numFmtId="0" fontId="52" fillId="6" borderId="0" applyNumberFormat="0" applyBorder="0" applyAlignment="0" applyProtection="0">
      <alignment vertical="center"/>
    </xf>
    <xf numFmtId="44" fontId="45" fillId="0" borderId="0" applyFont="0" applyFill="0" applyBorder="0" applyAlignment="0" applyProtection="0">
      <alignment vertical="center"/>
    </xf>
    <xf numFmtId="0" fontId="61" fillId="7" borderId="0" applyNumberFormat="0" applyBorder="0" applyAlignment="0" applyProtection="0">
      <alignment vertical="center"/>
    </xf>
    <xf numFmtId="0" fontId="64" fillId="11" borderId="0" applyNumberFormat="0" applyBorder="0" applyAlignment="0" applyProtection="0">
      <alignment vertical="center"/>
    </xf>
    <xf numFmtId="0" fontId="53" fillId="5" borderId="16" applyNumberFormat="0" applyAlignment="0" applyProtection="0">
      <alignment vertical="center"/>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77" fillId="0" borderId="0">
      <alignment horizontal="center" wrapText="1"/>
      <protection locked="0"/>
    </xf>
    <xf numFmtId="0" fontId="58" fillId="7" borderId="0" applyNumberFormat="0" applyBorder="0" applyAlignment="0" applyProtection="0">
      <alignment vertical="center"/>
    </xf>
    <xf numFmtId="41" fontId="45" fillId="0" borderId="0" applyFont="0" applyFill="0" applyBorder="0" applyAlignment="0" applyProtection="0">
      <alignment vertical="center"/>
    </xf>
    <xf numFmtId="0" fontId="67" fillId="30" borderId="0" applyNumberFormat="0" applyBorder="0" applyAlignment="0" applyProtection="0"/>
    <xf numFmtId="0" fontId="58" fillId="7" borderId="0" applyNumberFormat="0" applyBorder="0" applyAlignment="0" applyProtection="0">
      <alignment vertical="center"/>
    </xf>
    <xf numFmtId="43" fontId="0" fillId="0" borderId="0" applyFont="0" applyFill="0" applyBorder="0" applyAlignment="0" applyProtection="0"/>
    <xf numFmtId="0" fontId="64" fillId="32" borderId="0" applyNumberFormat="0" applyBorder="0" applyAlignment="0" applyProtection="0">
      <alignment vertical="center"/>
    </xf>
    <xf numFmtId="0" fontId="80" fillId="33" borderId="0" applyNumberFormat="0" applyBorder="0" applyAlignment="0" applyProtection="0">
      <alignment vertical="center"/>
    </xf>
    <xf numFmtId="0" fontId="51" fillId="0" borderId="0" applyNumberFormat="0" applyFill="0" applyBorder="0" applyAlignment="0" applyProtection="0">
      <alignment vertical="center"/>
    </xf>
    <xf numFmtId="0" fontId="56" fillId="4" borderId="0" applyNumberFormat="0" applyBorder="0" applyAlignment="0" applyProtection="0">
      <alignment vertical="center"/>
    </xf>
    <xf numFmtId="177" fontId="27" fillId="0" borderId="21" applyFill="0" applyProtection="0">
      <alignment horizontal="right"/>
    </xf>
    <xf numFmtId="0" fontId="74" fillId="29" borderId="0" applyNumberFormat="0" applyBorder="0" applyAlignment="0" applyProtection="0"/>
    <xf numFmtId="0" fontId="52" fillId="6" borderId="0" applyNumberFormat="0" applyBorder="0" applyAlignment="0" applyProtection="0">
      <alignment vertical="center"/>
    </xf>
    <xf numFmtId="0" fontId="59" fillId="34" borderId="0" applyNumberFormat="0" applyBorder="0" applyAlignment="0" applyProtection="0">
      <alignment vertical="center"/>
    </xf>
    <xf numFmtId="0" fontId="60" fillId="9" borderId="0" applyNumberFormat="0" applyBorder="0" applyAlignment="0" applyProtection="0">
      <alignment vertical="center"/>
    </xf>
    <xf numFmtId="9" fontId="0" fillId="0" borderId="0" applyFont="0" applyFill="0" applyBorder="0" applyAlignment="0" applyProtection="0"/>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84" fillId="0" borderId="0" applyNumberFormat="0" applyFill="0" applyBorder="0" applyAlignment="0" applyProtection="0">
      <alignment vertical="center"/>
    </xf>
    <xf numFmtId="0" fontId="45" fillId="3" borderId="15" applyNumberFormat="0" applyFont="0" applyAlignment="0" applyProtection="0">
      <alignment vertical="center"/>
    </xf>
    <xf numFmtId="0" fontId="0" fillId="0" borderId="0">
      <alignment vertical="center"/>
    </xf>
    <xf numFmtId="0" fontId="16" fillId="0" borderId="0"/>
    <xf numFmtId="0" fontId="59" fillId="37"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85"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58" fillId="9" borderId="0" applyNumberFormat="0" applyBorder="0" applyAlignment="0" applyProtection="0">
      <alignment vertical="center"/>
    </xf>
    <xf numFmtId="0" fontId="63" fillId="6" borderId="0" applyNumberFormat="0" applyBorder="0" applyAlignment="0" applyProtection="0">
      <alignment vertical="center"/>
    </xf>
    <xf numFmtId="0" fontId="56" fillId="4" borderId="0" applyNumberFormat="0" applyBorder="0" applyAlignment="0" applyProtection="0">
      <alignment vertical="center"/>
    </xf>
    <xf numFmtId="0" fontId="79"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69" fillId="25" borderId="0" applyNumberFormat="0" applyBorder="0" applyAlignment="0" applyProtection="0"/>
    <xf numFmtId="0" fontId="52" fillId="6" borderId="0" applyNumberFormat="0" applyBorder="0" applyAlignment="0" applyProtection="0">
      <alignment vertical="center"/>
    </xf>
    <xf numFmtId="0" fontId="70" fillId="0" borderId="19" applyNumberFormat="0" applyFill="0" applyAlignment="0" applyProtection="0">
      <alignment vertical="center"/>
    </xf>
    <xf numFmtId="9" fontId="0" fillId="0" borderId="0" applyFont="0" applyFill="0" applyBorder="0" applyAlignment="0" applyProtection="0">
      <alignment vertical="center"/>
    </xf>
    <xf numFmtId="0" fontId="52" fillId="6" borderId="0" applyNumberFormat="0" applyBorder="0" applyAlignment="0" applyProtection="0">
      <alignment vertical="center"/>
    </xf>
    <xf numFmtId="0" fontId="88" fillId="0" borderId="19" applyNumberFormat="0" applyFill="0" applyAlignment="0" applyProtection="0">
      <alignment vertical="center"/>
    </xf>
    <xf numFmtId="9" fontId="28" fillId="0" borderId="0" applyFont="0" applyFill="0" applyBorder="0" applyAlignment="0" applyProtection="0"/>
    <xf numFmtId="0" fontId="27" fillId="0" borderId="0"/>
    <xf numFmtId="0" fontId="52" fillId="6" borderId="0" applyNumberFormat="0" applyBorder="0" applyAlignment="0" applyProtection="0">
      <alignment vertical="center"/>
    </xf>
    <xf numFmtId="0" fontId="61" fillId="9" borderId="0" applyNumberFormat="0" applyBorder="0" applyAlignment="0" applyProtection="0"/>
    <xf numFmtId="0" fontId="58" fillId="7" borderId="0" applyNumberFormat="0" applyBorder="0" applyAlignment="0" applyProtection="0">
      <alignment vertical="center"/>
    </xf>
    <xf numFmtId="0" fontId="59" fillId="10" borderId="0" applyNumberFormat="0" applyBorder="0" applyAlignment="0" applyProtection="0">
      <alignment vertical="center"/>
    </xf>
    <xf numFmtId="0" fontId="0" fillId="0" borderId="0"/>
    <xf numFmtId="0" fontId="85" fillId="0" borderId="24" applyNumberFormat="0" applyFill="0" applyAlignment="0" applyProtection="0">
      <alignment vertical="center"/>
    </xf>
    <xf numFmtId="0" fontId="59" fillId="8" borderId="0" applyNumberFormat="0" applyBorder="0" applyAlignment="0" applyProtection="0">
      <alignment vertical="center"/>
    </xf>
    <xf numFmtId="0" fontId="63" fillId="6" borderId="0" applyNumberFormat="0" applyBorder="0" applyAlignment="0" applyProtection="0">
      <alignment vertical="center"/>
    </xf>
    <xf numFmtId="0" fontId="90" fillId="39" borderId="25" applyNumberFormat="0" applyAlignment="0" applyProtection="0">
      <alignment vertical="center"/>
    </xf>
    <xf numFmtId="0" fontId="76" fillId="4"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68" fillId="12" borderId="18" applyNumberFormat="0" applyAlignment="0" applyProtection="0"/>
    <xf numFmtId="0" fontId="76" fillId="4" borderId="0" applyNumberFormat="0" applyBorder="0" applyAlignment="0" applyProtection="0">
      <alignment vertical="center"/>
    </xf>
    <xf numFmtId="0" fontId="91" fillId="39" borderId="16" applyNumberFormat="0" applyAlignment="0" applyProtection="0">
      <alignment vertical="center"/>
    </xf>
    <xf numFmtId="0" fontId="61" fillId="9" borderId="0" applyNumberFormat="0" applyBorder="0" applyAlignment="0" applyProtection="0"/>
    <xf numFmtId="0" fontId="66" fillId="4" borderId="0" applyNumberFormat="0" applyBorder="0" applyAlignment="0" applyProtection="0">
      <alignment vertical="center"/>
    </xf>
    <xf numFmtId="0" fontId="93" fillId="40" borderId="26" applyNumberFormat="0" applyAlignment="0" applyProtection="0">
      <alignment vertical="center"/>
    </xf>
    <xf numFmtId="0" fontId="58" fillId="7" borderId="0" applyNumberFormat="0" applyBorder="0" applyAlignment="0" applyProtection="0">
      <alignment vertical="center"/>
    </xf>
    <xf numFmtId="0" fontId="56" fillId="6" borderId="0" applyNumberFormat="0" applyBorder="0" applyAlignment="0" applyProtection="0">
      <alignment vertical="center"/>
    </xf>
    <xf numFmtId="0" fontId="63" fillId="6" borderId="0" applyNumberFormat="0" applyBorder="0" applyAlignment="0" applyProtection="0">
      <alignment vertical="center"/>
    </xf>
    <xf numFmtId="0" fontId="64" fillId="41"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187" fontId="27" fillId="0" borderId="0" applyFont="0" applyFill="0" applyBorder="0" applyAlignment="0" applyProtection="0"/>
    <xf numFmtId="0" fontId="59" fillId="45"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95" fillId="0" borderId="27" applyNumberFormat="0" applyFill="0" applyAlignment="0" applyProtection="0">
      <alignment vertical="center"/>
    </xf>
    <xf numFmtId="0" fontId="52" fillId="6" borderId="0" applyNumberFormat="0" applyBorder="0" applyAlignment="0" applyProtection="0">
      <alignment vertical="center"/>
    </xf>
    <xf numFmtId="0" fontId="76" fillId="4" borderId="0" applyNumberFormat="0" applyBorder="0" applyAlignment="0" applyProtection="0">
      <alignment vertical="center"/>
    </xf>
    <xf numFmtId="0" fontId="89" fillId="0" borderId="23" applyNumberFormat="0" applyFill="0" applyAlignment="0" applyProtection="0">
      <alignment vertical="center"/>
    </xf>
    <xf numFmtId="0" fontId="58" fillId="7" borderId="0" applyNumberFormat="0" applyBorder="0" applyAlignment="0" applyProtection="0">
      <alignment vertical="center"/>
    </xf>
    <xf numFmtId="0" fontId="79" fillId="9" borderId="0" applyNumberFormat="0" applyBorder="0" applyAlignment="0" applyProtection="0">
      <alignment vertical="center"/>
    </xf>
    <xf numFmtId="0" fontId="52" fillId="6" borderId="0" applyNumberFormat="0" applyBorder="0" applyAlignment="0" applyProtection="0">
      <alignment vertical="center"/>
    </xf>
    <xf numFmtId="0" fontId="56" fillId="6" borderId="0" applyNumberFormat="0" applyBorder="0" applyAlignment="0" applyProtection="0">
      <alignment vertical="center"/>
    </xf>
    <xf numFmtId="0" fontId="96" fillId="46" borderId="0" applyNumberFormat="0" applyBorder="0" applyAlignment="0" applyProtection="0">
      <alignment vertical="center"/>
    </xf>
    <xf numFmtId="0" fontId="97" fillId="0" borderId="17" applyNumberFormat="0" applyFill="0" applyAlignment="0" applyProtection="0"/>
    <xf numFmtId="0" fontId="52" fillId="6" borderId="0" applyNumberFormat="0" applyBorder="0" applyAlignment="0" applyProtection="0">
      <alignment vertical="center"/>
    </xf>
    <xf numFmtId="0" fontId="99" fillId="47" borderId="0" applyNumberFormat="0" applyBorder="0" applyAlignment="0" applyProtection="0">
      <alignment vertical="center"/>
    </xf>
    <xf numFmtId="49" fontId="27" fillId="0" borderId="0" applyFont="0" applyFill="0" applyBorder="0" applyAlignment="0" applyProtection="0"/>
    <xf numFmtId="0" fontId="56" fillId="6" borderId="0" applyNumberFormat="0" applyBorder="0" applyAlignment="0" applyProtection="0">
      <alignment vertical="center"/>
    </xf>
    <xf numFmtId="0" fontId="64" fillId="36" borderId="0" applyNumberFormat="0" applyBorder="0" applyAlignment="0" applyProtection="0">
      <alignment vertical="center"/>
    </xf>
    <xf numFmtId="0" fontId="52" fillId="4" borderId="0" applyNumberFormat="0" applyBorder="0" applyAlignment="0" applyProtection="0">
      <alignment vertical="center"/>
    </xf>
    <xf numFmtId="0" fontId="59" fillId="50"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69" fillId="22" borderId="0" applyNumberFormat="0" applyBorder="0" applyAlignment="0" applyProtection="0"/>
    <xf numFmtId="0" fontId="101" fillId="6" borderId="0" applyNumberFormat="0" applyBorder="0" applyAlignment="0" applyProtection="0">
      <alignment vertical="center"/>
    </xf>
    <xf numFmtId="0" fontId="64" fillId="51" borderId="0" applyNumberFormat="0" applyBorder="0" applyAlignment="0" applyProtection="0">
      <alignment vertical="center"/>
    </xf>
    <xf numFmtId="0" fontId="78" fillId="0" borderId="0"/>
    <xf numFmtId="0" fontId="52" fillId="6" borderId="0" applyNumberFormat="0" applyBorder="0" applyAlignment="0" applyProtection="0">
      <alignment vertical="center"/>
    </xf>
    <xf numFmtId="0" fontId="64" fillId="21" borderId="0" applyNumberFormat="0" applyBorder="0" applyAlignment="0" applyProtection="0">
      <alignment vertical="center"/>
    </xf>
    <xf numFmtId="0" fontId="52" fillId="6" borderId="0" applyNumberFormat="0" applyBorder="0" applyAlignment="0" applyProtection="0">
      <alignment vertical="center"/>
    </xf>
    <xf numFmtId="0" fontId="64" fillId="52"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2" fillId="4" borderId="0" applyNumberFormat="0" applyBorder="0" applyAlignment="0" applyProtection="0">
      <alignment vertical="center"/>
    </xf>
    <xf numFmtId="0" fontId="102" fillId="42" borderId="29" applyNumberFormat="0" applyAlignment="0" applyProtection="0">
      <alignment vertical="center"/>
    </xf>
    <xf numFmtId="0" fontId="58" fillId="9" borderId="0" applyNumberFormat="0" applyBorder="0" applyAlignment="0" applyProtection="0">
      <alignment vertical="center"/>
    </xf>
    <xf numFmtId="0" fontId="73" fillId="6" borderId="0" applyNumberFormat="0" applyBorder="0" applyAlignment="0" applyProtection="0"/>
    <xf numFmtId="0" fontId="64" fillId="53" borderId="0" applyNumberFormat="0" applyBorder="0" applyAlignment="0" applyProtection="0">
      <alignment vertical="center"/>
    </xf>
    <xf numFmtId="0" fontId="52" fillId="6" borderId="0" applyNumberFormat="0" applyBorder="0" applyAlignment="0" applyProtection="0">
      <alignment vertical="center"/>
    </xf>
    <xf numFmtId="0" fontId="59" fillId="55" borderId="0" applyNumberFormat="0" applyBorder="0" applyAlignment="0" applyProtection="0">
      <alignment vertical="center"/>
    </xf>
    <xf numFmtId="0" fontId="92" fillId="0" borderId="0" applyNumberFormat="0" applyFont="0" applyFill="0" applyBorder="0" applyAlignment="0" applyProtection="0">
      <alignment horizontal="left"/>
    </xf>
    <xf numFmtId="0" fontId="59" fillId="56" borderId="0" applyNumberFormat="0" applyBorder="0" applyAlignment="0" applyProtection="0">
      <alignment vertical="center"/>
    </xf>
    <xf numFmtId="0" fontId="52" fillId="6" borderId="0" applyNumberFormat="0" applyBorder="0" applyAlignment="0" applyProtection="0">
      <alignment vertical="center"/>
    </xf>
    <xf numFmtId="0" fontId="64" fillId="57" borderId="0" applyNumberFormat="0" applyBorder="0" applyAlignment="0" applyProtection="0">
      <alignment vertical="center"/>
    </xf>
    <xf numFmtId="0" fontId="64" fillId="23" borderId="0" applyNumberFormat="0" applyBorder="0" applyAlignment="0" applyProtection="0">
      <alignment vertical="center"/>
    </xf>
    <xf numFmtId="0" fontId="59" fillId="31" borderId="0" applyNumberFormat="0" applyBorder="0" applyAlignment="0" applyProtection="0">
      <alignment vertical="center"/>
    </xf>
    <xf numFmtId="0" fontId="58" fillId="7" borderId="0" applyNumberFormat="0" applyBorder="0" applyAlignment="0" applyProtection="0">
      <alignment vertical="center"/>
    </xf>
    <xf numFmtId="0" fontId="64" fillId="49" borderId="0" applyNumberFormat="0" applyBorder="0" applyAlignment="0" applyProtection="0">
      <alignment vertical="center"/>
    </xf>
    <xf numFmtId="0" fontId="56" fillId="4"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9" fillId="58" borderId="0" applyNumberFormat="0" applyBorder="0" applyAlignment="0" applyProtection="0">
      <alignment vertical="center"/>
    </xf>
    <xf numFmtId="0" fontId="76" fillId="4" borderId="0" applyNumberFormat="0" applyBorder="0" applyAlignment="0" applyProtection="0">
      <alignment vertical="center"/>
    </xf>
    <xf numFmtId="0" fontId="59" fillId="59" borderId="0" applyNumberFormat="0" applyBorder="0" applyAlignment="0" applyProtection="0">
      <alignment vertical="center"/>
    </xf>
    <xf numFmtId="0" fontId="64" fillId="44" borderId="0" applyNumberFormat="0" applyBorder="0" applyAlignment="0" applyProtection="0">
      <alignment vertical="center"/>
    </xf>
    <xf numFmtId="0" fontId="78" fillId="0" borderId="0"/>
    <xf numFmtId="0" fontId="52" fillId="6" borderId="0" applyNumberFormat="0" applyBorder="0" applyAlignment="0" applyProtection="0">
      <alignment vertical="center"/>
    </xf>
    <xf numFmtId="0" fontId="59" fillId="60" borderId="0" applyNumberFormat="0" applyBorder="0" applyAlignment="0" applyProtection="0">
      <alignment vertical="center"/>
    </xf>
    <xf numFmtId="0" fontId="78" fillId="0" borderId="0"/>
    <xf numFmtId="0" fontId="27" fillId="0" borderId="0"/>
    <xf numFmtId="0" fontId="61" fillId="15" borderId="0" applyNumberFormat="0" applyBorder="0" applyAlignment="0" applyProtection="0"/>
    <xf numFmtId="0" fontId="0" fillId="0" borderId="0"/>
    <xf numFmtId="0" fontId="16" fillId="0" borderId="0"/>
    <xf numFmtId="0" fontId="61" fillId="9" borderId="0" applyNumberFormat="0" applyBorder="0" applyAlignment="0" applyProtection="0"/>
    <xf numFmtId="0" fontId="16" fillId="0" borderId="0"/>
    <xf numFmtId="0" fontId="52" fillId="4" borderId="0" applyNumberFormat="0" applyBorder="0" applyAlignment="0" applyProtection="0">
      <alignment vertical="center"/>
    </xf>
    <xf numFmtId="0" fontId="0" fillId="0" borderId="0"/>
    <xf numFmtId="0" fontId="61" fillId="9" borderId="0" applyNumberFormat="0" applyBorder="0" applyAlignment="0" applyProtection="0"/>
    <xf numFmtId="0" fontId="61" fillId="15" borderId="0" applyNumberFormat="0" applyBorder="0" applyAlignment="0" applyProtection="0"/>
    <xf numFmtId="0" fontId="0" fillId="0" borderId="0"/>
    <xf numFmtId="0" fontId="56" fillId="6"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3" fillId="6" borderId="0" applyNumberFormat="0" applyBorder="0" applyAlignment="0" applyProtection="0">
      <alignment vertical="center"/>
    </xf>
    <xf numFmtId="0" fontId="56" fillId="6" borderId="0" applyNumberFormat="0" applyBorder="0" applyAlignment="0" applyProtection="0">
      <alignment vertical="center"/>
    </xf>
    <xf numFmtId="0" fontId="61" fillId="9" borderId="0" applyNumberFormat="0" applyBorder="0" applyAlignment="0" applyProtection="0"/>
    <xf numFmtId="0" fontId="27" fillId="0" borderId="0"/>
    <xf numFmtId="0" fontId="61" fillId="7" borderId="0" applyNumberFormat="0" applyBorder="0" applyAlignment="0" applyProtection="0">
      <alignment vertical="center"/>
    </xf>
    <xf numFmtId="0" fontId="16" fillId="0" borderId="0"/>
    <xf numFmtId="0" fontId="52" fillId="4" borderId="0" applyNumberFormat="0" applyBorder="0" applyAlignment="0" applyProtection="0">
      <alignment vertical="center"/>
    </xf>
    <xf numFmtId="0" fontId="58" fillId="9" borderId="0" applyNumberFormat="0" applyBorder="0" applyAlignment="0" applyProtection="0">
      <alignment vertical="center"/>
    </xf>
    <xf numFmtId="0" fontId="0" fillId="0" borderId="0"/>
    <xf numFmtId="0" fontId="76" fillId="6" borderId="0" applyNumberFormat="0" applyBorder="0" applyAlignment="0" applyProtection="0">
      <alignment vertical="center"/>
    </xf>
    <xf numFmtId="0" fontId="27" fillId="0" borderId="0">
      <protection locked="0"/>
    </xf>
    <xf numFmtId="0" fontId="67" fillId="14" borderId="0" applyNumberFormat="0" applyBorder="0" applyAlignment="0" applyProtection="0"/>
    <xf numFmtId="0" fontId="78" fillId="0" borderId="0"/>
    <xf numFmtId="0" fontId="100" fillId="0" borderId="28" applyNumberFormat="0" applyFill="0" applyAlignment="0" applyProtection="0"/>
    <xf numFmtId="0" fontId="81" fillId="7" borderId="0" applyNumberFormat="0" applyBorder="0" applyAlignment="0" applyProtection="0">
      <alignment vertical="center"/>
    </xf>
    <xf numFmtId="0" fontId="104" fillId="0" borderId="0"/>
    <xf numFmtId="0" fontId="66" fillId="9" borderId="0" applyNumberFormat="0" applyBorder="0" applyAlignment="0" applyProtection="0">
      <alignment vertical="center"/>
    </xf>
    <xf numFmtId="0" fontId="52" fillId="6" borderId="0" applyNumberFormat="0" applyBorder="0" applyAlignment="0" applyProtection="0">
      <alignment vertical="center"/>
    </xf>
    <xf numFmtId="0" fontId="105" fillId="0" borderId="30" applyNumberFormat="0" applyFill="0" applyAlignment="0" applyProtection="0"/>
    <xf numFmtId="0" fontId="58" fillId="9" borderId="0" applyNumberFormat="0" applyBorder="0" applyAlignment="0" applyProtection="0">
      <alignment vertical="center"/>
    </xf>
    <xf numFmtId="0" fontId="16" fillId="0" borderId="0"/>
    <xf numFmtId="0" fontId="81" fillId="7" borderId="0" applyNumberFormat="0" applyBorder="0" applyAlignment="0" applyProtection="0">
      <alignment vertical="center"/>
    </xf>
    <xf numFmtId="0" fontId="67" fillId="14" borderId="0" applyNumberFormat="0" applyBorder="0" applyAlignment="0" applyProtection="0"/>
    <xf numFmtId="0" fontId="104" fillId="0" borderId="0"/>
    <xf numFmtId="0" fontId="58" fillId="7"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8" fillId="0" borderId="0"/>
    <xf numFmtId="0" fontId="68" fillId="12" borderId="18" applyNumberFormat="0" applyAlignment="0" applyProtection="0"/>
    <xf numFmtId="0" fontId="52" fillId="4" borderId="0" applyNumberFormat="0" applyBorder="0" applyAlignment="0" applyProtection="0">
      <alignment vertical="center"/>
    </xf>
    <xf numFmtId="184" fontId="27" fillId="0" borderId="0" applyFont="0" applyFill="0" applyBorder="0" applyAlignment="0" applyProtection="0"/>
    <xf numFmtId="0" fontId="27" fillId="0" borderId="0"/>
    <xf numFmtId="0" fontId="65" fillId="27" borderId="0" applyNumberFormat="0" applyBorder="0" applyAlignment="0" applyProtection="0"/>
    <xf numFmtId="0" fontId="67" fillId="14" borderId="0" applyNumberFormat="0" applyBorder="0" applyAlignment="0" applyProtection="0"/>
    <xf numFmtId="0" fontId="63" fillId="6" borderId="0" applyNumberFormat="0" applyBorder="0" applyAlignment="0" applyProtection="0">
      <alignment vertical="center"/>
    </xf>
    <xf numFmtId="0" fontId="58" fillId="7" borderId="0" applyNumberFormat="0" applyBorder="0" applyAlignment="0" applyProtection="0">
      <alignment vertical="center"/>
    </xf>
    <xf numFmtId="0" fontId="65" fillId="6" borderId="0" applyNumberFormat="0" applyBorder="0" applyAlignment="0" applyProtection="0"/>
    <xf numFmtId="0" fontId="65" fillId="9" borderId="0" applyNumberFormat="0" applyBorder="0" applyAlignment="0" applyProtection="0"/>
    <xf numFmtId="0" fontId="65" fillId="4" borderId="0" applyNumberFormat="0" applyBorder="0" applyAlignment="0" applyProtection="0"/>
    <xf numFmtId="0" fontId="76" fillId="4" borderId="0" applyNumberFormat="0" applyBorder="0" applyAlignment="0" applyProtection="0">
      <alignment vertical="center"/>
    </xf>
    <xf numFmtId="0" fontId="65" fillId="7" borderId="0" applyNumberFormat="0" applyBorder="0" applyAlignment="0" applyProtection="0"/>
    <xf numFmtId="0" fontId="52" fillId="4" borderId="0" applyNumberFormat="0" applyBorder="0" applyAlignment="0" applyProtection="0">
      <alignment vertical="center"/>
    </xf>
    <xf numFmtId="0" fontId="73" fillId="38" borderId="0" applyNumberFormat="0" applyBorder="0" applyAlignment="0" applyProtection="0"/>
    <xf numFmtId="0" fontId="65" fillId="12" borderId="0" applyNumberFormat="0" applyBorder="0" applyAlignment="0" applyProtection="0"/>
    <xf numFmtId="0" fontId="52" fillId="6" borderId="0" applyNumberFormat="0" applyBorder="0" applyAlignment="0" applyProtection="0">
      <alignment vertical="center"/>
    </xf>
    <xf numFmtId="0" fontId="81" fillId="9" borderId="0" applyNumberFormat="0" applyBorder="0" applyAlignment="0" applyProtection="0">
      <alignment vertical="center"/>
    </xf>
    <xf numFmtId="0" fontId="66" fillId="27"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66" fillId="6" borderId="0" applyNumberFormat="0" applyBorder="0" applyAlignment="0" applyProtection="0">
      <alignment vertical="center"/>
    </xf>
    <xf numFmtId="0" fontId="66" fillId="4" borderId="0" applyNumberFormat="0" applyBorder="0" applyAlignment="0" applyProtection="0">
      <alignment vertical="center"/>
    </xf>
    <xf numFmtId="0" fontId="52" fillId="4" borderId="0" applyNumberFormat="0" applyBorder="0" applyAlignment="0" applyProtection="0">
      <alignment vertical="center"/>
    </xf>
    <xf numFmtId="184" fontId="27" fillId="0" borderId="0" applyFont="0" applyFill="0" applyBorder="0" applyAlignment="0" applyProtection="0"/>
    <xf numFmtId="0" fontId="66" fillId="7" borderId="0" applyNumberFormat="0" applyBorder="0" applyAlignment="0" applyProtection="0">
      <alignment vertical="center"/>
    </xf>
    <xf numFmtId="40" fontId="103" fillId="0" borderId="0" applyFont="0" applyFill="0" applyBorder="0" applyAlignment="0" applyProtection="0"/>
    <xf numFmtId="0" fontId="52" fillId="6" borderId="0" applyNumberFormat="0" applyBorder="0" applyAlignment="0" applyProtection="0">
      <alignment vertical="center"/>
    </xf>
    <xf numFmtId="41" fontId="27" fillId="0" borderId="0" applyFont="0" applyFill="0" applyBorder="0" applyAlignment="0" applyProtection="0"/>
    <xf numFmtId="0" fontId="58" fillId="7" borderId="0" applyNumberFormat="0" applyBorder="0" applyAlignment="0" applyProtection="0">
      <alignment vertical="center"/>
    </xf>
    <xf numFmtId="0" fontId="63" fillId="6" borderId="0" applyNumberFormat="0" applyBorder="0" applyAlignment="0" applyProtection="0">
      <alignment vertical="center"/>
    </xf>
    <xf numFmtId="0" fontId="66" fillId="12" borderId="0" applyNumberFormat="0" applyBorder="0" applyAlignment="0" applyProtection="0">
      <alignment vertical="center"/>
    </xf>
    <xf numFmtId="0" fontId="65" fillId="2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0" fillId="9" borderId="0" applyNumberFormat="0" applyBorder="0" applyAlignment="0" applyProtection="0">
      <alignment vertical="center"/>
    </xf>
    <xf numFmtId="0" fontId="65" fillId="4" borderId="0" applyNumberFormat="0" applyBorder="0" applyAlignment="0" applyProtection="0"/>
    <xf numFmtId="0" fontId="62" fillId="0" borderId="0"/>
    <xf numFmtId="0" fontId="65" fillId="28" borderId="0" applyNumberFormat="0" applyBorder="0" applyAlignment="0" applyProtection="0"/>
    <xf numFmtId="0" fontId="106" fillId="0" borderId="0" applyNumberFormat="0" applyFill="0" applyBorder="0" applyAlignment="0" applyProtection="0">
      <alignment vertical="center"/>
    </xf>
    <xf numFmtId="0" fontId="81" fillId="7" borderId="0" applyNumberFormat="0" applyBorder="0" applyAlignment="0" applyProtection="0">
      <alignment vertical="center"/>
    </xf>
    <xf numFmtId="0" fontId="65" fillId="26" borderId="0" applyNumberFormat="0" applyBorder="0" applyAlignment="0" applyProtection="0"/>
    <xf numFmtId="0" fontId="61" fillId="7" borderId="0" applyNumberFormat="0" applyBorder="0" applyAlignment="0" applyProtection="0">
      <alignment vertical="center"/>
    </xf>
    <xf numFmtId="0" fontId="52" fillId="6" borderId="0" applyNumberFormat="0" applyBorder="0" applyAlignment="0" applyProtection="0">
      <alignment vertical="center"/>
    </xf>
    <xf numFmtId="0" fontId="81" fillId="7" borderId="0" applyNumberFormat="0" applyBorder="0" applyAlignment="0" applyProtection="0">
      <alignment vertical="center"/>
    </xf>
    <xf numFmtId="0" fontId="56" fillId="6" borderId="0" applyNumberFormat="0" applyBorder="0" applyAlignment="0" applyProtection="0">
      <alignment vertical="center"/>
    </xf>
    <xf numFmtId="0" fontId="61" fillId="7" borderId="0" applyNumberFormat="0" applyBorder="0" applyAlignment="0" applyProtection="0">
      <alignment vertical="center"/>
    </xf>
    <xf numFmtId="0" fontId="58" fillId="7" borderId="0" applyNumberFormat="0" applyBorder="0" applyAlignment="0" applyProtection="0">
      <alignment vertical="center"/>
    </xf>
    <xf numFmtId="0" fontId="66" fillId="28" borderId="0" applyNumberFormat="0" applyBorder="0" applyAlignment="0" applyProtection="0">
      <alignment vertical="center"/>
    </xf>
    <xf numFmtId="0" fontId="76" fillId="4" borderId="0" applyNumberFormat="0" applyBorder="0" applyAlignment="0" applyProtection="0">
      <alignment vertical="center"/>
    </xf>
    <xf numFmtId="0" fontId="63" fillId="6" borderId="0" applyNumberFormat="0" applyBorder="0" applyAlignment="0" applyProtection="0">
      <alignment vertical="center"/>
    </xf>
    <xf numFmtId="0" fontId="66" fillId="19" borderId="0" applyNumberFormat="0" applyBorder="0" applyAlignment="0" applyProtection="0">
      <alignment vertical="center"/>
    </xf>
    <xf numFmtId="0" fontId="52" fillId="6" borderId="0" applyNumberFormat="0" applyBorder="0" applyAlignment="0" applyProtection="0">
      <alignment vertical="center"/>
    </xf>
    <xf numFmtId="0" fontId="66" fillId="13"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66" fillId="28" borderId="0" applyNumberFormat="0" applyBorder="0" applyAlignment="0" applyProtection="0">
      <alignment vertical="center"/>
    </xf>
    <xf numFmtId="0" fontId="58" fillId="9" borderId="0" applyNumberFormat="0" applyBorder="0" applyAlignment="0" applyProtection="0">
      <alignment vertical="center"/>
    </xf>
    <xf numFmtId="0" fontId="63" fillId="6" borderId="0" applyNumberFormat="0" applyBorder="0" applyAlignment="0" applyProtection="0">
      <alignment vertical="center"/>
    </xf>
    <xf numFmtId="0" fontId="66" fillId="26"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76" fillId="4" borderId="0" applyNumberFormat="0" applyBorder="0" applyAlignment="0" applyProtection="0">
      <alignment vertical="center"/>
    </xf>
    <xf numFmtId="0" fontId="69" fillId="20" borderId="0" applyNumberFormat="0" applyBorder="0" applyAlignment="0" applyProtection="0"/>
    <xf numFmtId="0" fontId="61" fillId="9" borderId="0" applyNumberFormat="0" applyBorder="0" applyAlignment="0" applyProtection="0">
      <alignment vertical="center"/>
    </xf>
    <xf numFmtId="0" fontId="69" fillId="19" borderId="0" applyNumberFormat="0" applyBorder="0" applyAlignment="0" applyProtection="0"/>
    <xf numFmtId="0" fontId="61" fillId="9" borderId="0" applyNumberFormat="0" applyBorder="0" applyAlignment="0" applyProtection="0"/>
    <xf numFmtId="0" fontId="0" fillId="0" borderId="0">
      <alignment vertical="center"/>
    </xf>
    <xf numFmtId="0" fontId="52" fillId="6" borderId="0" applyNumberFormat="0" applyBorder="0" applyAlignment="0" applyProtection="0">
      <alignment vertical="center"/>
    </xf>
    <xf numFmtId="0" fontId="107" fillId="0" borderId="21" applyNumberFormat="0" applyFill="0" applyProtection="0">
      <alignment horizontal="center"/>
    </xf>
    <xf numFmtId="0" fontId="69" fillId="13" borderId="0" applyNumberFormat="0" applyBorder="0" applyAlignment="0" applyProtection="0"/>
    <xf numFmtId="0" fontId="0" fillId="0" borderId="0"/>
    <xf numFmtId="3" fontId="92" fillId="0" borderId="0" applyFont="0" applyFill="0" applyBorder="0" applyAlignment="0" applyProtection="0"/>
    <xf numFmtId="0" fontId="69" fillId="54" borderId="0" applyNumberFormat="0" applyBorder="0" applyAlignment="0" applyProtection="0"/>
    <xf numFmtId="14" fontId="77" fillId="0" borderId="0">
      <alignment horizontal="center" wrapText="1"/>
      <protection locked="0"/>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58" fillId="7" borderId="0" applyNumberFormat="0" applyBorder="0" applyAlignment="0" applyProtection="0">
      <alignment vertical="center"/>
    </xf>
    <xf numFmtId="0" fontId="69" fillId="22" borderId="0" applyNumberFormat="0" applyBorder="0" applyAlignment="0" applyProtection="0"/>
    <xf numFmtId="0" fontId="72" fillId="54" borderId="0" applyNumberFormat="0" applyBorder="0" applyAlignment="0" applyProtection="0">
      <alignment vertical="center"/>
    </xf>
    <xf numFmtId="0" fontId="60" fillId="9" borderId="0" applyNumberFormat="0" applyBorder="0" applyAlignment="0" applyProtection="0">
      <alignment vertical="center"/>
    </xf>
    <xf numFmtId="0" fontId="69" fillId="35" borderId="0" applyNumberFormat="0" applyBorder="0" applyAlignment="0" applyProtection="0"/>
    <xf numFmtId="0" fontId="71" fillId="18" borderId="20">
      <protection locked="0"/>
    </xf>
    <xf numFmtId="0" fontId="72" fillId="20" borderId="0" applyNumberFormat="0" applyBorder="0" applyAlignment="0" applyProtection="0">
      <alignment vertical="center"/>
    </xf>
    <xf numFmtId="0" fontId="81" fillId="7" borderId="0" applyNumberFormat="0" applyBorder="0" applyAlignment="0" applyProtection="0">
      <alignment vertical="center"/>
    </xf>
    <xf numFmtId="0" fontId="97" fillId="0" borderId="0" applyNumberFormat="0" applyFill="0" applyBorder="0" applyAlignment="0" applyProtection="0"/>
    <xf numFmtId="0" fontId="27" fillId="0" borderId="3" applyNumberFormat="0" applyFill="0" applyProtection="0">
      <alignment horizontal="left"/>
    </xf>
    <xf numFmtId="0" fontId="60" fillId="9" borderId="0" applyNumberFormat="0" applyBorder="0" applyAlignment="0" applyProtection="0">
      <alignment vertical="center"/>
    </xf>
    <xf numFmtId="0" fontId="72" fillId="19" borderId="0" applyNumberFormat="0" applyBorder="0" applyAlignment="0" applyProtection="0">
      <alignment vertical="center"/>
    </xf>
    <xf numFmtId="0" fontId="52" fillId="6" borderId="0" applyNumberFormat="0" applyBorder="0" applyAlignment="0" applyProtection="0">
      <alignment vertical="center"/>
    </xf>
    <xf numFmtId="0" fontId="0" fillId="0" borderId="0">
      <alignment vertical="center"/>
    </xf>
    <xf numFmtId="0" fontId="52" fillId="6" borderId="0" applyNumberFormat="0" applyBorder="0" applyAlignment="0" applyProtection="0">
      <alignment vertical="center"/>
    </xf>
    <xf numFmtId="0" fontId="72" fillId="13" borderId="0" applyNumberFormat="0" applyBorder="0" applyAlignment="0" applyProtection="0">
      <alignment vertical="center"/>
    </xf>
    <xf numFmtId="0" fontId="56" fillId="4" borderId="0" applyNumberFormat="0" applyBorder="0" applyAlignment="0" applyProtection="0">
      <alignment vertical="center"/>
    </xf>
    <xf numFmtId="0" fontId="72" fillId="54" borderId="0" applyNumberFormat="0" applyBorder="0" applyAlignment="0" applyProtection="0">
      <alignment vertical="center"/>
    </xf>
    <xf numFmtId="0" fontId="108" fillId="61" borderId="0" applyNumberFormat="0" applyBorder="0" applyAlignment="0" applyProtection="0"/>
    <xf numFmtId="0" fontId="72" fillId="22" borderId="0" applyNumberFormat="0" applyBorder="0" applyAlignment="0" applyProtection="0">
      <alignment vertical="center"/>
    </xf>
    <xf numFmtId="0" fontId="58" fillId="9" borderId="0" applyNumberFormat="0" applyBorder="0" applyAlignment="0" applyProtection="0">
      <alignment vertical="center"/>
    </xf>
    <xf numFmtId="0" fontId="72" fillId="35" borderId="0" applyNumberFormat="0" applyBorder="0" applyAlignment="0" applyProtection="0">
      <alignment vertical="center"/>
    </xf>
    <xf numFmtId="0" fontId="78" fillId="0" borderId="0">
      <protection locked="0"/>
    </xf>
    <xf numFmtId="0" fontId="69" fillId="48" borderId="0" applyNumberFormat="0" applyBorder="0" applyAlignment="0" applyProtection="0"/>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7" fillId="16" borderId="0" applyNumberFormat="0" applyBorder="0" applyAlignment="0" applyProtection="0"/>
    <xf numFmtId="0" fontId="76" fillId="4" borderId="0" applyNumberFormat="0" applyBorder="0" applyAlignment="0" applyProtection="0">
      <alignment vertical="center"/>
    </xf>
    <xf numFmtId="0" fontId="74" fillId="43" borderId="0" applyNumberFormat="0" applyBorder="0" applyAlignment="0" applyProtection="0"/>
    <xf numFmtId="0" fontId="52" fillId="6" borderId="0" applyNumberFormat="0" applyBorder="0" applyAlignment="0" applyProtection="0">
      <alignment vertical="center"/>
    </xf>
    <xf numFmtId="0" fontId="69" fillId="48"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3" fillId="6" borderId="0" applyNumberFormat="0" applyBorder="0" applyAlignment="0" applyProtection="0">
      <alignment vertical="center"/>
    </xf>
    <xf numFmtId="0" fontId="69" fillId="25" borderId="0" applyNumberFormat="0" applyBorder="0" applyAlignment="0" applyProtection="0"/>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67" fillId="14" borderId="0" applyNumberFormat="0" applyBorder="0" applyAlignment="0" applyProtection="0"/>
    <xf numFmtId="0" fontId="27" fillId="0" borderId="0" applyFont="0" applyFill="0" applyBorder="0" applyAlignment="0" applyProtection="0"/>
    <xf numFmtId="0" fontId="67" fillId="14" borderId="0" applyNumberFormat="0" applyBorder="0" applyAlignment="0" applyProtection="0"/>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61" fillId="7" borderId="0" applyNumberFormat="0" applyBorder="0" applyAlignment="0" applyProtection="0">
      <alignment vertical="center"/>
    </xf>
    <xf numFmtId="189" fontId="27" fillId="0" borderId="0" applyFont="0" applyFill="0" applyBorder="0" applyAlignment="0" applyProtection="0"/>
    <xf numFmtId="0" fontId="58" fillId="9" borderId="0" applyNumberFormat="0" applyBorder="0" applyAlignment="0" applyProtection="0">
      <alignment vertical="center"/>
    </xf>
    <xf numFmtId="0" fontId="74" fillId="30" borderId="0" applyNumberFormat="0" applyBorder="0" applyAlignment="0" applyProtection="0"/>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69" fillId="54" borderId="0" applyNumberFormat="0" applyBorder="0" applyAlignment="0" applyProtection="0"/>
    <xf numFmtId="0" fontId="67" fillId="14" borderId="0" applyNumberFormat="0" applyBorder="0" applyAlignment="0" applyProtection="0"/>
    <xf numFmtId="0" fontId="58" fillId="9" borderId="0" applyNumberFormat="0" applyBorder="0" applyAlignment="0" applyProtection="0">
      <alignment vertical="center"/>
    </xf>
    <xf numFmtId="0" fontId="73" fillId="6" borderId="0" applyNumberFormat="0" applyBorder="0" applyAlignment="0" applyProtection="0"/>
    <xf numFmtId="0" fontId="52" fillId="6" borderId="0" applyNumberFormat="0" applyBorder="0" applyAlignment="0" applyProtection="0">
      <alignment vertical="center"/>
    </xf>
    <xf numFmtId="0" fontId="67" fillId="30" borderId="0" applyNumberFormat="0" applyBorder="0" applyAlignment="0" applyProtection="0"/>
    <xf numFmtId="0" fontId="74" fillId="24" borderId="0" applyNumberFormat="0" applyBorder="0" applyAlignment="0" applyProtection="0"/>
    <xf numFmtId="180" fontId="27" fillId="0" borderId="0" applyFont="0" applyFill="0" applyBorder="0" applyAlignment="0" applyProtection="0"/>
    <xf numFmtId="0" fontId="52" fillId="6" borderId="0" applyNumberFormat="0" applyBorder="0" applyAlignment="0" applyProtection="0">
      <alignment vertical="center"/>
    </xf>
    <xf numFmtId="0" fontId="69" fillId="54" borderId="0" applyNumberFormat="0" applyBorder="0" applyAlignment="0" applyProtection="0"/>
    <xf numFmtId="0" fontId="58" fillId="9" borderId="0" applyNumberFormat="0" applyBorder="0" applyAlignment="0" applyProtection="0">
      <alignment vertical="center"/>
    </xf>
    <xf numFmtId="0" fontId="69" fillId="22" borderId="0" applyNumberFormat="0" applyBorder="0" applyAlignment="0" applyProtection="0"/>
    <xf numFmtId="0" fontId="67" fillId="43" borderId="0" applyNumberFormat="0" applyBorder="0" applyAlignment="0" applyProtection="0"/>
    <xf numFmtId="41" fontId="5" fillId="0" borderId="0" applyFont="0" applyFill="0" applyBorder="0" applyAlignment="0" applyProtection="0"/>
    <xf numFmtId="0" fontId="81" fillId="7" borderId="0" applyNumberFormat="0" applyBorder="0" applyAlignment="0" applyProtection="0">
      <alignment vertical="center"/>
    </xf>
    <xf numFmtId="0" fontId="74" fillId="43" borderId="0" applyNumberFormat="0" applyBorder="0" applyAlignment="0" applyProtection="0"/>
    <xf numFmtId="0" fontId="69" fillId="63" borderId="0" applyNumberFormat="0" applyBorder="0" applyAlignment="0" applyProtection="0"/>
    <xf numFmtId="0" fontId="81" fillId="7" borderId="0" applyNumberFormat="0" applyBorder="0" applyAlignment="0" applyProtection="0">
      <alignment vertical="center"/>
    </xf>
    <xf numFmtId="0" fontId="67" fillId="14" borderId="0" applyNumberFormat="0" applyBorder="0" applyAlignment="0" applyProtection="0"/>
    <xf numFmtId="0" fontId="61" fillId="7" borderId="0" applyNumberFormat="0" applyBorder="0" applyAlignment="0" applyProtection="0">
      <alignment vertical="center"/>
    </xf>
    <xf numFmtId="0" fontId="67" fillId="64" borderId="0" applyNumberFormat="0" applyBorder="0" applyAlignment="0" applyProtection="0"/>
    <xf numFmtId="0" fontId="56" fillId="4" borderId="0" applyNumberFormat="0" applyBorder="0" applyAlignment="0" applyProtection="0">
      <alignment vertical="center"/>
    </xf>
    <xf numFmtId="0" fontId="58" fillId="9" borderId="0" applyNumberFormat="0" applyBorder="0" applyAlignment="0" applyProtection="0">
      <alignment vertical="center"/>
    </xf>
    <xf numFmtId="0" fontId="74" fillId="62" borderId="0" applyNumberFormat="0" applyBorder="0" applyAlignment="0" applyProtection="0"/>
    <xf numFmtId="0" fontId="69" fillId="63" borderId="0" applyNumberFormat="0" applyBorder="0" applyAlignment="0" applyProtection="0"/>
    <xf numFmtId="0" fontId="52" fillId="4" borderId="0" applyNumberFormat="0" applyBorder="0" applyAlignment="0" applyProtection="0">
      <alignment vertical="center"/>
    </xf>
    <xf numFmtId="0" fontId="61" fillId="9" borderId="0" applyNumberFormat="0" applyBorder="0" applyAlignment="0" applyProtection="0"/>
    <xf numFmtId="0" fontId="110" fillId="6" borderId="0" applyNumberFormat="0" applyBorder="0" applyAlignment="0" applyProtection="0"/>
    <xf numFmtId="176" fontId="115" fillId="0" borderId="0" applyFill="0" applyBorder="0" applyAlignment="0"/>
    <xf numFmtId="0" fontId="113" fillId="42" borderId="18" applyNumberFormat="0" applyAlignment="0" applyProtection="0"/>
    <xf numFmtId="0" fontId="61" fillId="9" borderId="0" applyNumberFormat="0" applyBorder="0" applyAlignment="0" applyProtection="0">
      <alignment vertical="center"/>
    </xf>
    <xf numFmtId="0" fontId="118" fillId="0" borderId="31">
      <alignment horizontal="center"/>
    </xf>
    <xf numFmtId="0" fontId="73" fillId="24" borderId="0" applyNumberFormat="0" applyBorder="0" applyAlignment="0" applyProtection="0"/>
    <xf numFmtId="0" fontId="60" fillId="9" borderId="0" applyNumberFormat="0" applyBorder="0" applyAlignment="0" applyProtection="0">
      <alignment vertical="center"/>
    </xf>
    <xf numFmtId="0" fontId="119" fillId="66" borderId="32" applyNumberFormat="0" applyAlignment="0" applyProtection="0"/>
    <xf numFmtId="0" fontId="60" fillId="9" borderId="0" applyNumberFormat="0" applyBorder="0" applyAlignment="0" applyProtection="0">
      <alignment vertical="center"/>
    </xf>
    <xf numFmtId="0" fontId="118" fillId="0" borderId="0" applyNumberFormat="0" applyFill="0" applyBorder="0" applyAlignment="0" applyProtection="0"/>
    <xf numFmtId="41" fontId="27" fillId="0" borderId="0" applyFont="0" applyFill="0" applyBorder="0" applyAlignment="0" applyProtection="0"/>
    <xf numFmtId="194" fontId="5" fillId="0" borderId="0"/>
    <xf numFmtId="0" fontId="103" fillId="0" borderId="0" applyFont="0" applyFill="0" applyBorder="0" applyAlignment="0" applyProtection="0"/>
    <xf numFmtId="0" fontId="58" fillId="9" borderId="0" applyNumberFormat="0" applyBorder="0" applyAlignment="0" applyProtection="0">
      <alignment vertical="center"/>
    </xf>
    <xf numFmtId="195" fontId="27" fillId="0" borderId="0" applyFont="0" applyFill="0" applyBorder="0" applyAlignment="0" applyProtection="0"/>
    <xf numFmtId="0" fontId="58" fillId="9" borderId="0" applyNumberFormat="0" applyBorder="0" applyAlignment="0" applyProtection="0">
      <alignment vertical="center"/>
    </xf>
    <xf numFmtId="0" fontId="61" fillId="9" borderId="0" applyNumberFormat="0" applyBorder="0" applyAlignment="0" applyProtection="0">
      <alignment vertical="center"/>
    </xf>
    <xf numFmtId="0" fontId="117" fillId="0" borderId="0" applyNumberFormat="0" applyFill="0" applyBorder="0" applyAlignment="0" applyProtection="0"/>
    <xf numFmtId="191" fontId="27" fillId="0" borderId="0" applyFont="0" applyFill="0" applyBorder="0" applyAlignment="0" applyProtection="0"/>
    <xf numFmtId="178" fontId="5" fillId="0" borderId="0"/>
    <xf numFmtId="0" fontId="73" fillId="6" borderId="0" applyNumberFormat="0" applyBorder="0" applyAlignment="0" applyProtection="0"/>
    <xf numFmtId="0" fontId="114" fillId="0" borderId="0" applyProtection="0"/>
    <xf numFmtId="0" fontId="52" fillId="6" borderId="0" applyNumberFormat="0" applyBorder="0" applyAlignment="0" applyProtection="0">
      <alignment vertical="center"/>
    </xf>
    <xf numFmtId="0" fontId="52" fillId="6" borderId="0" applyNumberFormat="0" applyBorder="0" applyAlignment="0" applyProtection="0">
      <alignment vertical="center"/>
    </xf>
    <xf numFmtId="192" fontId="5" fillId="0" borderId="0"/>
    <xf numFmtId="0" fontId="61" fillId="7"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60" fillId="9" borderId="0" applyNumberFormat="0" applyBorder="0" applyAlignment="0" applyProtection="0">
      <alignment vertical="center"/>
    </xf>
    <xf numFmtId="0" fontId="72" fillId="48" borderId="0" applyNumberFormat="0" applyBorder="0" applyAlignment="0" applyProtection="0">
      <alignment vertical="center"/>
    </xf>
    <xf numFmtId="0" fontId="121" fillId="0" borderId="0" applyNumberFormat="0" applyFill="0" applyBorder="0" applyAlignment="0" applyProtection="0"/>
    <xf numFmtId="0" fontId="52" fillId="4" borderId="0" applyNumberFormat="0" applyBorder="0" applyAlignment="0" applyProtection="0">
      <alignment vertical="center"/>
    </xf>
    <xf numFmtId="0" fontId="63" fillId="6" borderId="0" applyNumberFormat="0" applyBorder="0" applyAlignment="0" applyProtection="0">
      <alignment vertical="center"/>
    </xf>
    <xf numFmtId="0" fontId="58" fillId="9" borderId="0" applyNumberFormat="0" applyBorder="0" applyAlignment="0" applyProtection="0">
      <alignment vertical="center"/>
    </xf>
    <xf numFmtId="0" fontId="27" fillId="0" borderId="0"/>
    <xf numFmtId="0" fontId="52" fillId="4" borderId="0" applyNumberFormat="0" applyBorder="0" applyAlignment="0" applyProtection="0">
      <alignment vertical="center"/>
    </xf>
    <xf numFmtId="2" fontId="114" fillId="0" borderId="0" applyProtection="0"/>
    <xf numFmtId="0" fontId="27" fillId="0" borderId="0"/>
    <xf numFmtId="0" fontId="58" fillId="9" borderId="0" applyNumberFormat="0" applyBorder="0" applyAlignment="0" applyProtection="0">
      <alignment vertical="center"/>
    </xf>
    <xf numFmtId="0" fontId="73" fillId="24" borderId="0" applyNumberFormat="0" applyBorder="0" applyAlignment="0" applyProtection="0"/>
    <xf numFmtId="0" fontId="52" fillId="6" borderId="0" applyNumberFormat="0" applyBorder="0" applyAlignment="0" applyProtection="0">
      <alignment vertical="center"/>
    </xf>
    <xf numFmtId="0" fontId="0" fillId="0" borderId="0">
      <alignment vertical="center"/>
    </xf>
    <xf numFmtId="0" fontId="112" fillId="9" borderId="0" applyNumberFormat="0" applyBorder="0" applyAlignment="0" applyProtection="0"/>
    <xf numFmtId="38" fontId="94" fillId="42" borderId="0" applyBorder="0" applyAlignment="0" applyProtection="0"/>
    <xf numFmtId="0" fontId="122" fillId="0" borderId="30" applyNumberFormat="0" applyFill="0" applyAlignment="0" applyProtection="0">
      <alignment vertical="center"/>
    </xf>
    <xf numFmtId="0" fontId="58" fillId="9" borderId="0" applyNumberFormat="0" applyBorder="0" applyAlignment="0" applyProtection="0">
      <alignment vertical="center"/>
    </xf>
    <xf numFmtId="0" fontId="111" fillId="0" borderId="33" applyNumberFormat="0" applyAlignment="0" applyProtection="0">
      <alignment horizontal="left" vertical="center"/>
    </xf>
    <xf numFmtId="0" fontId="76" fillId="4" borderId="0" applyNumberFormat="0" applyBorder="0" applyAlignment="0" applyProtection="0">
      <alignment vertical="center"/>
    </xf>
    <xf numFmtId="0" fontId="111" fillId="0" borderId="5">
      <alignment horizontal="left" vertical="center"/>
    </xf>
    <xf numFmtId="0" fontId="52" fillId="6" borderId="0" applyNumberFormat="0" applyBorder="0" applyAlignment="0" applyProtection="0">
      <alignment vertical="center"/>
    </xf>
    <xf numFmtId="0" fontId="109" fillId="0" borderId="0" applyProtection="0"/>
    <xf numFmtId="0" fontId="56" fillId="4" borderId="0" applyNumberFormat="0" applyBorder="0" applyAlignment="0" applyProtection="0">
      <alignment vertical="center"/>
    </xf>
    <xf numFmtId="0" fontId="52" fillId="6" borderId="0" applyNumberFormat="0" applyBorder="0" applyAlignment="0" applyProtection="0">
      <alignment vertical="center"/>
    </xf>
    <xf numFmtId="0" fontId="111" fillId="0" borderId="0" applyProtection="0"/>
    <xf numFmtId="0" fontId="60" fillId="9" borderId="0" applyNumberFormat="0" applyBorder="0" applyAlignment="0" applyProtection="0">
      <alignment vertical="center"/>
    </xf>
    <xf numFmtId="0" fontId="52" fillId="6" borderId="0" applyNumberFormat="0" applyBorder="0" applyAlignment="0" applyProtection="0">
      <alignment vertical="center"/>
    </xf>
    <xf numFmtId="10" fontId="94" fillId="68" borderId="2" applyBorder="0" applyAlignment="0" applyProtection="0"/>
    <xf numFmtId="0" fontId="58" fillId="7" borderId="0" applyNumberFormat="0" applyBorder="0" applyAlignment="0" applyProtection="0">
      <alignment vertical="center"/>
    </xf>
    <xf numFmtId="0" fontId="101" fillId="6" borderId="0" applyNumberFormat="0" applyBorder="0" applyAlignment="0" applyProtection="0">
      <alignment vertical="center"/>
    </xf>
    <xf numFmtId="181" fontId="116" fillId="65" borderId="0"/>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76" fillId="4" borderId="0" applyNumberFormat="0" applyBorder="0" applyAlignment="0" applyProtection="0">
      <alignment vertical="center"/>
    </xf>
    <xf numFmtId="0" fontId="61" fillId="9" borderId="0" applyNumberFormat="0" applyBorder="0" applyAlignment="0" applyProtection="0">
      <alignment vertical="center"/>
    </xf>
    <xf numFmtId="9" fontId="123" fillId="0" borderId="0" applyFont="0" applyFill="0" applyBorder="0" applyAlignment="0" applyProtection="0"/>
    <xf numFmtId="0" fontId="83" fillId="0" borderId="22" applyNumberFormat="0" applyFill="0" applyAlignment="0" applyProtection="0"/>
    <xf numFmtId="181" fontId="120" fillId="67" borderId="0"/>
    <xf numFmtId="0" fontId="63" fillId="6" borderId="0" applyNumberFormat="0" applyBorder="0" applyAlignment="0" applyProtection="0">
      <alignment vertical="center"/>
    </xf>
    <xf numFmtId="38" fontId="92" fillId="0" borderId="0" applyFont="0" applyFill="0" applyBorder="0" applyAlignment="0" applyProtection="0"/>
    <xf numFmtId="0" fontId="58" fillId="9" borderId="0" applyNumberFormat="0" applyBorder="0" applyAlignment="0" applyProtection="0">
      <alignment vertical="center"/>
    </xf>
    <xf numFmtId="40" fontId="92" fillId="0" borderId="0" applyFont="0" applyFill="0" applyBorder="0" applyAlignment="0" applyProtection="0"/>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63" fillId="6" borderId="0" applyNumberFormat="0" applyBorder="0" applyAlignment="0" applyProtection="0">
      <alignment vertical="center"/>
    </xf>
    <xf numFmtId="188" fontId="92" fillId="0" borderId="0" applyFont="0" applyFill="0" applyBorder="0" applyAlignment="0" applyProtection="0"/>
    <xf numFmtId="0" fontId="52" fillId="6" borderId="0" applyNumberFormat="0" applyBorder="0" applyAlignment="0" applyProtection="0">
      <alignment vertical="center"/>
    </xf>
    <xf numFmtId="186" fontId="92" fillId="0" borderId="0" applyFont="0" applyFill="0" applyBorder="0" applyAlignment="0" applyProtection="0"/>
    <xf numFmtId="0" fontId="56" fillId="6" borderId="0" applyNumberFormat="0" applyBorder="0" applyAlignment="0" applyProtection="0">
      <alignment vertical="center"/>
    </xf>
    <xf numFmtId="0" fontId="5" fillId="0" borderId="0"/>
    <xf numFmtId="37" fontId="124" fillId="0" borderId="0"/>
    <xf numFmtId="0" fontId="52" fillId="4" borderId="0" applyNumberFormat="0" applyBorder="0" applyAlignment="0" applyProtection="0">
      <alignment vertical="center"/>
    </xf>
    <xf numFmtId="0" fontId="116" fillId="0" borderId="0"/>
    <xf numFmtId="0" fontId="60" fillId="9" borderId="0" applyNumberFormat="0" applyBorder="0" applyAlignment="0" applyProtection="0">
      <alignment vertical="center"/>
    </xf>
    <xf numFmtId="0" fontId="78" fillId="0" borderId="0"/>
    <xf numFmtId="0" fontId="52" fillId="6" borderId="0" applyNumberFormat="0" applyBorder="0" applyAlignment="0" applyProtection="0">
      <alignment vertical="center"/>
    </xf>
    <xf numFmtId="0" fontId="101" fillId="4" borderId="0" applyNumberFormat="0" applyBorder="0" applyAlignment="0" applyProtection="0">
      <alignment vertical="center"/>
    </xf>
    <xf numFmtId="0" fontId="0" fillId="38" borderId="34" applyNumberFormat="0" applyFont="0" applyAlignment="0" applyProtection="0"/>
    <xf numFmtId="0" fontId="125" fillId="42" borderId="29" applyNumberFormat="0" applyAlignment="0" applyProtection="0"/>
    <xf numFmtId="10" fontId="27" fillId="0" borderId="0" applyFont="0" applyFill="0" applyBorder="0" applyAlignment="0" applyProtection="0"/>
    <xf numFmtId="9" fontId="78" fillId="0" borderId="0" applyFont="0" applyFill="0" applyBorder="0" applyAlignment="0" applyProtection="0"/>
    <xf numFmtId="0" fontId="60" fillId="9" borderId="0" applyNumberFormat="0" applyBorder="0" applyAlignment="0" applyProtection="0">
      <alignment vertical="center"/>
    </xf>
    <xf numFmtId="0" fontId="54" fillId="0" borderId="0" applyNumberFormat="0" applyFill="0" applyBorder="0" applyAlignment="0" applyProtection="0">
      <alignment vertical="center"/>
    </xf>
    <xf numFmtId="0" fontId="60" fillId="9" borderId="0" applyNumberFormat="0" applyBorder="0" applyAlignment="0" applyProtection="0">
      <alignment vertical="center"/>
    </xf>
    <xf numFmtId="193" fontId="27" fillId="0" borderId="0" applyFont="0" applyFill="0" applyProtection="0"/>
    <xf numFmtId="0" fontId="52" fillId="6" borderId="0" applyNumberFormat="0" applyBorder="0" applyAlignment="0" applyProtection="0">
      <alignment vertical="center"/>
    </xf>
    <xf numFmtId="0" fontId="52" fillId="6" borderId="0" applyNumberFormat="0" applyBorder="0" applyAlignment="0" applyProtection="0">
      <alignment vertical="center"/>
    </xf>
    <xf numFmtId="15" fontId="92" fillId="0" borderId="0" applyFont="0" applyFill="0" applyBorder="0" applyAlignment="0" applyProtection="0"/>
    <xf numFmtId="4" fontId="92" fillId="0" borderId="0" applyFont="0" applyFill="0" applyBorder="0" applyAlignment="0" applyProtection="0"/>
    <xf numFmtId="0" fontId="79" fillId="7" borderId="0" applyNumberFormat="0" applyBorder="0" applyAlignment="0" applyProtection="0">
      <alignment vertical="center"/>
    </xf>
    <xf numFmtId="0" fontId="56" fillId="4" borderId="0" applyNumberFormat="0" applyBorder="0" applyAlignment="0" applyProtection="0">
      <alignment vertical="center"/>
    </xf>
    <xf numFmtId="0" fontId="58" fillId="9" borderId="0" applyNumberFormat="0" applyBorder="0" applyAlignment="0" applyProtection="0">
      <alignment vertical="center"/>
    </xf>
    <xf numFmtId="0" fontId="92" fillId="69" borderId="0" applyNumberFormat="0" applyFont="0" applyBorder="0" applyAlignment="0" applyProtection="0"/>
    <xf numFmtId="0" fontId="76" fillId="6" borderId="0" applyNumberFormat="0" applyBorder="0" applyAlignment="0" applyProtection="0">
      <alignment vertical="center"/>
    </xf>
    <xf numFmtId="0" fontId="0" fillId="0" borderId="0" applyNumberFormat="0" applyFill="0" applyBorder="0" applyAlignment="0" applyProtection="0"/>
    <xf numFmtId="0" fontId="63" fillId="6" borderId="0" applyNumberFormat="0" applyBorder="0" applyAlignment="0" applyProtection="0">
      <alignment vertical="center"/>
    </xf>
    <xf numFmtId="0" fontId="81" fillId="7" borderId="0" applyNumberFormat="0" applyBorder="0" applyAlignment="0" applyProtection="0">
      <alignment vertical="center"/>
    </xf>
    <xf numFmtId="0" fontId="71" fillId="18" borderId="20">
      <protection locked="0"/>
    </xf>
    <xf numFmtId="0" fontId="126" fillId="0" borderId="0"/>
    <xf numFmtId="0" fontId="63" fillId="6" borderId="0" applyNumberFormat="0" applyBorder="0" applyAlignment="0" applyProtection="0">
      <alignment vertical="center"/>
    </xf>
    <xf numFmtId="0" fontId="71" fillId="18" borderId="20">
      <protection locked="0"/>
    </xf>
    <xf numFmtId="0" fontId="63" fillId="6" borderId="0" applyNumberFormat="0" applyBorder="0" applyAlignment="0" applyProtection="0">
      <alignment vertical="center"/>
    </xf>
    <xf numFmtId="0" fontId="127" fillId="0" borderId="0" applyNumberFormat="0" applyFill="0" applyBorder="0" applyAlignment="0" applyProtection="0"/>
    <xf numFmtId="0" fontId="58" fillId="9" borderId="0" applyNumberFormat="0" applyBorder="0" applyAlignment="0" applyProtection="0">
      <alignment vertical="center"/>
    </xf>
    <xf numFmtId="0" fontId="128" fillId="0" borderId="35" applyNumberFormat="0" applyFill="0" applyAlignment="0" applyProtection="0"/>
    <xf numFmtId="0" fontId="58" fillId="9" borderId="0" applyNumberFormat="0" applyBorder="0" applyAlignment="0" applyProtection="0">
      <alignment vertical="center"/>
    </xf>
    <xf numFmtId="0" fontId="129" fillId="0" borderId="0" applyNumberFormat="0" applyFill="0" applyBorder="0" applyAlignment="0" applyProtection="0"/>
    <xf numFmtId="9" fontId="1" fillId="0" borderId="0" applyFont="0" applyFill="0" applyBorder="0" applyAlignment="0" applyProtection="0">
      <alignment vertical="center"/>
    </xf>
    <xf numFmtId="0" fontId="73" fillId="6" borderId="0" applyNumberFormat="0" applyBorder="0" applyAlignment="0" applyProtection="0"/>
    <xf numFmtId="9" fontId="1" fillId="0" borderId="0" applyFont="0" applyFill="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182" fontId="27" fillId="0" borderId="0" applyFont="0" applyFill="0" applyBorder="0" applyAlignment="0" applyProtection="0"/>
    <xf numFmtId="0" fontId="27" fillId="0" borderId="3" applyNumberFormat="0" applyFill="0" applyProtection="0">
      <alignment horizontal="right"/>
    </xf>
    <xf numFmtId="0" fontId="52" fillId="6" borderId="0" applyNumberFormat="0" applyBorder="0" applyAlignment="0" applyProtection="0">
      <alignment vertical="center"/>
    </xf>
    <xf numFmtId="0" fontId="103" fillId="0" borderId="0" applyFont="0" applyFill="0" applyBorder="0" applyAlignment="0" applyProtection="0"/>
    <xf numFmtId="0" fontId="130" fillId="0" borderId="28" applyNumberFormat="0" applyFill="0" applyAlignment="0" applyProtection="0">
      <alignment vertical="center"/>
    </xf>
    <xf numFmtId="0" fontId="81" fillId="7" borderId="0" applyNumberFormat="0" applyBorder="0" applyAlignment="0" applyProtection="0">
      <alignment vertical="center"/>
    </xf>
    <xf numFmtId="0" fontId="55" fillId="0" borderId="17" applyNumberFormat="0" applyFill="0" applyAlignment="0" applyProtection="0">
      <alignment vertical="center"/>
    </xf>
    <xf numFmtId="0" fontId="58" fillId="9" borderId="0" applyNumberFormat="0" applyBorder="0" applyAlignment="0" applyProtection="0">
      <alignment vertical="center"/>
    </xf>
    <xf numFmtId="0" fontId="63" fillId="6" borderId="0" applyNumberFormat="0" applyBorder="0" applyAlignment="0" applyProtection="0">
      <alignment vertical="center"/>
    </xf>
    <xf numFmtId="0" fontId="56" fillId="4" borderId="0" applyNumberFormat="0" applyBorder="0" applyAlignment="0" applyProtection="0">
      <alignment vertical="center"/>
    </xf>
    <xf numFmtId="0" fontId="52" fillId="6" borderId="0" applyNumberFormat="0" applyBorder="0" applyAlignment="0" applyProtection="0">
      <alignment vertical="center"/>
    </xf>
    <xf numFmtId="0" fontId="61" fillId="15" borderId="0" applyNumberFormat="0" applyBorder="0" applyAlignment="0" applyProtection="0"/>
    <xf numFmtId="0" fontId="55" fillId="0" borderId="0" applyNumberFormat="0" applyFill="0" applyBorder="0" applyAlignment="0" applyProtection="0">
      <alignment vertical="center"/>
    </xf>
    <xf numFmtId="43" fontId="1" fillId="0" borderId="0" applyFont="0" applyFill="0" applyBorder="0" applyAlignment="0" applyProtection="0">
      <alignment vertical="center"/>
    </xf>
    <xf numFmtId="0" fontId="61" fillId="7" borderId="0" applyNumberFormat="0" applyBorder="0" applyAlignment="0" applyProtection="0">
      <alignment vertical="center"/>
    </xf>
    <xf numFmtId="0" fontId="131" fillId="0" borderId="3" applyNumberFormat="0" applyFill="0" applyProtection="0">
      <alignment horizontal="center"/>
    </xf>
    <xf numFmtId="0" fontId="58" fillId="7" borderId="0" applyNumberFormat="0" applyBorder="0" applyAlignment="0" applyProtection="0">
      <alignment vertical="center"/>
    </xf>
    <xf numFmtId="0" fontId="52" fillId="4" borderId="0" applyNumberFormat="0" applyBorder="0" applyAlignment="0" applyProtection="0">
      <alignment vertical="center"/>
    </xf>
    <xf numFmtId="0" fontId="57" fillId="0" borderId="2">
      <alignment horizontal="distributed" vertical="center" wrapText="1"/>
    </xf>
    <xf numFmtId="0" fontId="58" fillId="9"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76" fillId="4" borderId="0" applyNumberFormat="0" applyBorder="0" applyAlignment="0" applyProtection="0">
      <alignment vertical="center"/>
    </xf>
    <xf numFmtId="0" fontId="52" fillId="6" borderId="0" applyNumberFormat="0" applyBorder="0" applyAlignment="0" applyProtection="0">
      <alignment vertical="center"/>
    </xf>
    <xf numFmtId="199" fontId="57" fillId="0" borderId="2">
      <alignment vertical="center"/>
      <protection locked="0"/>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52" fillId="6" borderId="0" applyNumberFormat="0" applyBorder="0" applyAlignment="0" applyProtection="0">
      <alignment vertical="center"/>
    </xf>
    <xf numFmtId="0" fontId="56" fillId="4" borderId="0" applyNumberFormat="0" applyBorder="0" applyAlignment="0" applyProtection="0">
      <alignment vertical="center"/>
    </xf>
    <xf numFmtId="0" fontId="56" fillId="6" borderId="0" applyNumberFormat="0" applyBorder="0" applyAlignment="0" applyProtection="0">
      <alignment vertical="center"/>
    </xf>
    <xf numFmtId="0" fontId="56" fillId="4" borderId="0" applyNumberFormat="0" applyBorder="0" applyAlignment="0" applyProtection="0">
      <alignment vertical="center"/>
    </xf>
    <xf numFmtId="0" fontId="60" fillId="9" borderId="0" applyNumberFormat="0" applyBorder="0" applyAlignment="0" applyProtection="0">
      <alignment vertical="center"/>
    </xf>
    <xf numFmtId="0" fontId="56" fillId="4" borderId="0" applyNumberFormat="0" applyBorder="0" applyAlignment="0" applyProtection="0">
      <alignment vertical="center"/>
    </xf>
    <xf numFmtId="0" fontId="63" fillId="6" borderId="0" applyNumberFormat="0" applyBorder="0" applyAlignment="0" applyProtection="0">
      <alignment vertical="center"/>
    </xf>
    <xf numFmtId="0" fontId="56" fillId="4" borderId="0" applyNumberFormat="0" applyBorder="0" applyAlignment="0" applyProtection="0">
      <alignment vertical="center"/>
    </xf>
    <xf numFmtId="0" fontId="58" fillId="9" borderId="0" applyNumberFormat="0" applyBorder="0" applyAlignment="0" applyProtection="0">
      <alignment vertical="center"/>
    </xf>
    <xf numFmtId="0" fontId="76" fillId="6" borderId="0" applyNumberFormat="0" applyBorder="0" applyAlignment="0" applyProtection="0">
      <alignment vertical="center"/>
    </xf>
    <xf numFmtId="0" fontId="76" fillId="4" borderId="0" applyNumberFormat="0" applyBorder="0" applyAlignment="0" applyProtection="0">
      <alignment vertical="center"/>
    </xf>
    <xf numFmtId="0" fontId="52" fillId="4" borderId="0" applyNumberFormat="0" applyBorder="0" applyAlignment="0" applyProtection="0">
      <alignment vertical="center"/>
    </xf>
    <xf numFmtId="0" fontId="60" fillId="9" borderId="0" applyNumberFormat="0" applyBorder="0" applyAlignment="0" applyProtection="0">
      <alignment vertical="center"/>
    </xf>
    <xf numFmtId="0" fontId="56" fillId="4" borderId="0" applyNumberFormat="0" applyBorder="0" applyAlignment="0" applyProtection="0">
      <alignment vertical="center"/>
    </xf>
    <xf numFmtId="0" fontId="56" fillId="6" borderId="0" applyNumberFormat="0" applyBorder="0" applyAlignment="0" applyProtection="0">
      <alignment vertical="center"/>
    </xf>
    <xf numFmtId="0" fontId="56" fillId="4"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132" fillId="0" borderId="0" applyNumberFormat="0" applyFill="0" applyBorder="0" applyAlignment="0" applyProtection="0">
      <alignment vertical="top"/>
      <protection locked="0"/>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6" fillId="4"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73" fillId="64" borderId="0" applyNumberFormat="0" applyBorder="0" applyAlignment="0" applyProtection="0"/>
    <xf numFmtId="1" fontId="57" fillId="0" borderId="2">
      <alignment vertical="center"/>
      <protection locked="0"/>
    </xf>
    <xf numFmtId="0" fontId="73" fillId="38" borderId="0" applyNumberFormat="0" applyBorder="0" applyAlignment="0" applyProtection="0"/>
    <xf numFmtId="0" fontId="52" fillId="6" borderId="0" applyNumberFormat="0" applyBorder="0" applyAlignment="0" applyProtection="0">
      <alignment vertical="center"/>
    </xf>
    <xf numFmtId="0" fontId="73" fillId="38" borderId="0" applyNumberFormat="0" applyBorder="0" applyAlignment="0" applyProtection="0"/>
    <xf numFmtId="0" fontId="52" fillId="6" borderId="0" applyNumberFormat="0" applyBorder="0" applyAlignment="0" applyProtection="0">
      <alignment vertical="center"/>
    </xf>
    <xf numFmtId="0" fontId="56" fillId="4" borderId="0" applyNumberFormat="0" applyBorder="0" applyAlignment="0" applyProtection="0">
      <alignment vertical="center"/>
    </xf>
    <xf numFmtId="0" fontId="81" fillId="7" borderId="0" applyNumberFormat="0" applyBorder="0" applyAlignment="0" applyProtection="0">
      <alignment vertical="center"/>
    </xf>
    <xf numFmtId="0" fontId="56" fillId="6" borderId="0" applyNumberFormat="0" applyBorder="0" applyAlignment="0" applyProtection="0">
      <alignment vertical="center"/>
    </xf>
    <xf numFmtId="0" fontId="61" fillId="7" borderId="0" applyNumberFormat="0" applyBorder="0" applyAlignment="0" applyProtection="0">
      <alignment vertical="center"/>
    </xf>
    <xf numFmtId="0" fontId="52" fillId="6"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52" fillId="4" borderId="0" applyNumberFormat="0" applyBorder="0" applyAlignment="0" applyProtection="0">
      <alignment vertical="center"/>
    </xf>
    <xf numFmtId="0" fontId="101" fillId="4" borderId="0" applyNumberFormat="0" applyBorder="0" applyAlignment="0" applyProtection="0">
      <alignment vertical="center"/>
    </xf>
    <xf numFmtId="0" fontId="52" fillId="4" borderId="0" applyNumberFormat="0" applyBorder="0" applyAlignment="0" applyProtection="0">
      <alignment vertical="center"/>
    </xf>
    <xf numFmtId="0" fontId="52" fillId="6"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61" fillId="9" borderId="0" applyNumberFormat="0" applyBorder="0" applyAlignment="0" applyProtection="0"/>
    <xf numFmtId="0" fontId="56" fillId="4" borderId="0" applyNumberFormat="0" applyBorder="0" applyAlignment="0" applyProtection="0">
      <alignment vertical="center"/>
    </xf>
    <xf numFmtId="0" fontId="56" fillId="4" borderId="0" applyNumberFormat="0" applyBorder="0" applyAlignment="0" applyProtection="0">
      <alignment vertical="center"/>
    </xf>
    <xf numFmtId="43" fontId="5" fillId="0" borderId="0" applyFont="0" applyFill="0" applyBorder="0" applyAlignment="0" applyProtection="0"/>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63" fillId="6" borderId="0" applyNumberFormat="0" applyBorder="0" applyAlignment="0" applyProtection="0">
      <alignment vertical="center"/>
    </xf>
    <xf numFmtId="0" fontId="101" fillId="6" borderId="0" applyNumberFormat="0" applyBorder="0" applyAlignment="0" applyProtection="0">
      <alignment vertical="center"/>
    </xf>
    <xf numFmtId="0" fontId="52" fillId="6" borderId="0" applyNumberFormat="0" applyBorder="0" applyAlignment="0" applyProtection="0">
      <alignment vertical="center"/>
    </xf>
    <xf numFmtId="0" fontId="133" fillId="0" borderId="0" applyNumberFormat="0" applyFill="0" applyBorder="0" applyAlignment="0" applyProtection="0">
      <alignment vertical="center"/>
    </xf>
    <xf numFmtId="0" fontId="101" fillId="6"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8" fillId="9" borderId="0" applyNumberFormat="0" applyBorder="0" applyAlignment="0" applyProtection="0">
      <alignment vertical="center"/>
    </xf>
    <xf numFmtId="0" fontId="52" fillId="4"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4"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75" fillId="12" borderId="18" applyNumberFormat="0" applyAlignment="0" applyProtection="0">
      <alignment vertical="center"/>
    </xf>
    <xf numFmtId="0" fontId="1" fillId="0" borderId="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79" fillId="9"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76" fillId="4" borderId="0" applyNumberFormat="0" applyBorder="0" applyAlignment="0" applyProtection="0">
      <alignment vertical="center"/>
    </xf>
    <xf numFmtId="0" fontId="58" fillId="9" borderId="0" applyNumberFormat="0" applyBorder="0" applyAlignment="0" applyProtection="0">
      <alignment vertical="center"/>
    </xf>
    <xf numFmtId="0" fontId="76" fillId="4" borderId="0" applyNumberFormat="0" applyBorder="0" applyAlignment="0" applyProtection="0">
      <alignment vertical="center"/>
    </xf>
    <xf numFmtId="0" fontId="76" fillId="4" borderId="0" applyNumberFormat="0" applyBorder="0" applyAlignment="0" applyProtection="0">
      <alignment vertical="center"/>
    </xf>
    <xf numFmtId="0" fontId="73" fillId="6" borderId="0" applyNumberFormat="0" applyBorder="0" applyAlignment="0" applyProtection="0"/>
    <xf numFmtId="0" fontId="76" fillId="4" borderId="0" applyNumberFormat="0" applyBorder="0" applyAlignment="0" applyProtection="0">
      <alignment vertical="center"/>
    </xf>
    <xf numFmtId="0" fontId="52" fillId="6" borderId="0" applyNumberFormat="0" applyBorder="0" applyAlignment="0" applyProtection="0">
      <alignment vertical="center"/>
    </xf>
    <xf numFmtId="0" fontId="76" fillId="4"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1" fillId="9" borderId="0" applyNumberFormat="0" applyBorder="0" applyAlignment="0" applyProtection="0"/>
    <xf numFmtId="0" fontId="76" fillId="4" borderId="0" applyNumberFormat="0" applyBorder="0" applyAlignment="0" applyProtection="0">
      <alignment vertical="center"/>
    </xf>
    <xf numFmtId="0" fontId="52" fillId="4"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4"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6"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2" fillId="4" borderId="0" applyNumberFormat="0" applyBorder="0" applyAlignment="0" applyProtection="0">
      <alignment vertical="center"/>
    </xf>
    <xf numFmtId="0" fontId="63"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6" fillId="4"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6" fillId="6" borderId="0" applyNumberFormat="0" applyBorder="0" applyAlignment="0" applyProtection="0">
      <alignment vertical="center"/>
    </xf>
    <xf numFmtId="0" fontId="52" fillId="6" borderId="0" applyNumberFormat="0" applyBorder="0" applyAlignment="0" applyProtection="0">
      <alignment vertical="center"/>
    </xf>
    <xf numFmtId="0" fontId="56" fillId="6"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123" fillId="0" borderId="0"/>
    <xf numFmtId="0" fontId="52" fillId="6" borderId="0" applyNumberFormat="0" applyBorder="0" applyAlignment="0" applyProtection="0">
      <alignment vertical="center"/>
    </xf>
    <xf numFmtId="0" fontId="61"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4"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79" fillId="9" borderId="0" applyNumberFormat="0" applyBorder="0" applyAlignment="0" applyProtection="0">
      <alignment vertical="center"/>
    </xf>
    <xf numFmtId="0" fontId="73" fillId="6" borderId="0" applyNumberFormat="0" applyBorder="0" applyAlignment="0" applyProtection="0"/>
    <xf numFmtId="0" fontId="56"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8" fillId="7"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6" fillId="6"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4" borderId="0" applyNumberFormat="0" applyBorder="0" applyAlignment="0" applyProtection="0">
      <alignment vertical="center"/>
    </xf>
    <xf numFmtId="0" fontId="61" fillId="15" borderId="0" applyNumberFormat="0" applyBorder="0" applyAlignment="0" applyProtection="0"/>
    <xf numFmtId="0" fontId="52" fillId="4" borderId="0" applyNumberFormat="0" applyBorder="0" applyAlignment="0" applyProtection="0">
      <alignment vertical="center"/>
    </xf>
    <xf numFmtId="0" fontId="61" fillId="9" borderId="0" applyNumberFormat="0" applyBorder="0" applyAlignment="0" applyProtection="0"/>
    <xf numFmtId="0" fontId="58" fillId="9"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6" fillId="4" borderId="0" applyNumberFormat="0" applyBorder="0" applyAlignment="0" applyProtection="0">
      <alignment vertical="center"/>
    </xf>
    <xf numFmtId="0" fontId="0" fillId="0" borderId="0">
      <alignment vertical="center"/>
    </xf>
    <xf numFmtId="0" fontId="73" fillId="24" borderId="0" applyNumberFormat="0" applyBorder="0" applyAlignment="0" applyProtection="0"/>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73" fillId="6" borderId="0" applyNumberFormat="0" applyBorder="0" applyAlignment="0" applyProtection="0"/>
    <xf numFmtId="0" fontId="0" fillId="0" borderId="0">
      <alignment vertical="center"/>
    </xf>
    <xf numFmtId="0" fontId="52" fillId="4" borderId="0" applyNumberFormat="0" applyBorder="0" applyAlignment="0" applyProtection="0">
      <alignment vertical="center"/>
    </xf>
    <xf numFmtId="0" fontId="61" fillId="7"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73" fillId="6" borderId="0" applyNumberFormat="0" applyBorder="0" applyAlignment="0" applyProtection="0"/>
    <xf numFmtId="0" fontId="81" fillId="9" borderId="0" applyNumberFormat="0" applyBorder="0" applyAlignment="0" applyProtection="0">
      <alignment vertical="center"/>
    </xf>
    <xf numFmtId="0" fontId="63" fillId="6" borderId="0" applyNumberFormat="0" applyBorder="0" applyAlignment="0" applyProtection="0">
      <alignment vertical="center"/>
    </xf>
    <xf numFmtId="0" fontId="73" fillId="6" borderId="0" applyNumberFormat="0" applyBorder="0" applyAlignment="0" applyProtection="0"/>
    <xf numFmtId="0" fontId="76"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6" fillId="6" borderId="0" applyNumberFormat="0" applyBorder="0" applyAlignment="0" applyProtection="0">
      <alignment vertical="center"/>
    </xf>
    <xf numFmtId="0" fontId="52" fillId="4" borderId="0" applyNumberFormat="0" applyBorder="0" applyAlignment="0" applyProtection="0">
      <alignment vertical="center"/>
    </xf>
    <xf numFmtId="0" fontId="56" fillId="6" borderId="0" applyNumberFormat="0" applyBorder="0" applyAlignment="0" applyProtection="0">
      <alignment vertical="center"/>
    </xf>
    <xf numFmtId="0" fontId="26" fillId="0" borderId="0"/>
    <xf numFmtId="0" fontId="52" fillId="6" borderId="0" applyNumberFormat="0" applyBorder="0" applyAlignment="0" applyProtection="0">
      <alignment vertical="center"/>
    </xf>
    <xf numFmtId="0" fontId="56" fillId="6" borderId="0" applyNumberFormat="0" applyBorder="0" applyAlignment="0" applyProtection="0">
      <alignment vertical="center"/>
    </xf>
    <xf numFmtId="0" fontId="58" fillId="9" borderId="0" applyNumberFormat="0" applyBorder="0" applyAlignment="0" applyProtection="0">
      <alignment vertical="center"/>
    </xf>
    <xf numFmtId="0" fontId="63" fillId="6" borderId="0" applyNumberFormat="0" applyBorder="0" applyAlignment="0" applyProtection="0">
      <alignment vertical="center"/>
    </xf>
    <xf numFmtId="0" fontId="73" fillId="6" borderId="0" applyNumberFormat="0" applyBorder="0" applyAlignment="0" applyProtection="0"/>
    <xf numFmtId="0" fontId="58" fillId="9" borderId="0" applyNumberFormat="0" applyBorder="0" applyAlignment="0" applyProtection="0">
      <alignment vertical="center"/>
    </xf>
    <xf numFmtId="0" fontId="76" fillId="4" borderId="0" applyNumberFormat="0" applyBorder="0" applyAlignment="0" applyProtection="0">
      <alignment vertical="center"/>
    </xf>
    <xf numFmtId="0" fontId="76" fillId="4"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76" fillId="4"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76" fillId="4" borderId="0" applyNumberFormat="0" applyBorder="0" applyAlignment="0" applyProtection="0">
      <alignment vertical="center"/>
    </xf>
    <xf numFmtId="0" fontId="76" fillId="4" borderId="0" applyNumberFormat="0" applyBorder="0" applyAlignment="0" applyProtection="0">
      <alignment vertical="center"/>
    </xf>
    <xf numFmtId="0" fontId="76" fillId="4"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4" borderId="0" applyNumberFormat="0" applyBorder="0" applyAlignment="0" applyProtection="0">
      <alignment vertical="center"/>
    </xf>
    <xf numFmtId="0" fontId="45" fillId="0" borderId="0">
      <alignment vertical="center"/>
    </xf>
    <xf numFmtId="0" fontId="60" fillId="9" borderId="0" applyNumberFormat="0" applyBorder="0" applyAlignment="0" applyProtection="0">
      <alignment vertical="center"/>
    </xf>
    <xf numFmtId="0" fontId="52" fillId="4" borderId="0" applyNumberFormat="0" applyBorder="0" applyAlignment="0" applyProtection="0">
      <alignment vertical="center"/>
    </xf>
    <xf numFmtId="0" fontId="63" fillId="6" borderId="0" applyNumberFormat="0" applyBorder="0" applyAlignment="0" applyProtection="0">
      <alignment vertical="center"/>
    </xf>
    <xf numFmtId="0" fontId="61" fillId="9"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8" fillId="7" borderId="0" applyNumberFormat="0" applyBorder="0" applyAlignment="0" applyProtection="0">
      <alignment vertical="center"/>
    </xf>
    <xf numFmtId="0" fontId="63"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61" fillId="9"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76" fillId="4" borderId="0" applyNumberFormat="0" applyBorder="0" applyAlignment="0" applyProtection="0">
      <alignment vertical="center"/>
    </xf>
    <xf numFmtId="0" fontId="76" fillId="4" borderId="0" applyNumberFormat="0" applyBorder="0" applyAlignment="0" applyProtection="0">
      <alignment vertical="center"/>
    </xf>
    <xf numFmtId="0" fontId="63" fillId="6" borderId="0" applyNumberFormat="0" applyBorder="0" applyAlignment="0" applyProtection="0">
      <alignment vertical="center"/>
    </xf>
    <xf numFmtId="0" fontId="56" fillId="6" borderId="0" applyNumberFormat="0" applyBorder="0" applyAlignment="0" applyProtection="0">
      <alignment vertical="center"/>
    </xf>
    <xf numFmtId="0" fontId="63" fillId="6" borderId="0" applyNumberFormat="0" applyBorder="0" applyAlignment="0" applyProtection="0">
      <alignment vertical="center"/>
    </xf>
    <xf numFmtId="0" fontId="56" fillId="6"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63" fillId="6" borderId="0" applyNumberFormat="0" applyBorder="0" applyAlignment="0" applyProtection="0">
      <alignment vertical="center"/>
    </xf>
    <xf numFmtId="0" fontId="52" fillId="4" borderId="0" applyNumberFormat="0" applyBorder="0" applyAlignment="0" applyProtection="0">
      <alignment vertical="center"/>
    </xf>
    <xf numFmtId="0" fontId="73" fillId="24" borderId="0" applyNumberFormat="0" applyBorder="0" applyAlignment="0" applyProtection="0"/>
    <xf numFmtId="0" fontId="0" fillId="0" borderId="0" applyNumberFormat="0" applyFill="0" applyBorder="0" applyAlignment="0" applyProtection="0"/>
    <xf numFmtId="0" fontId="73" fillId="6" borderId="0" applyNumberFormat="0" applyBorder="0" applyAlignment="0" applyProtection="0"/>
    <xf numFmtId="0" fontId="73" fillId="6" borderId="0" applyNumberFormat="0" applyBorder="0" applyAlignment="0" applyProtection="0"/>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63" fillId="6" borderId="0" applyNumberFormat="0" applyBorder="0" applyAlignment="0" applyProtection="0">
      <alignment vertical="center"/>
    </xf>
    <xf numFmtId="0" fontId="56"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0" fillId="0" borderId="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8" fillId="7" borderId="0" applyNumberFormat="0" applyBorder="0" applyAlignment="0" applyProtection="0">
      <alignment vertical="center"/>
    </xf>
    <xf numFmtId="0" fontId="52" fillId="4" borderId="0" applyNumberFormat="0" applyBorder="0" applyAlignment="0" applyProtection="0">
      <alignment vertical="center"/>
    </xf>
    <xf numFmtId="0" fontId="81" fillId="9" borderId="0" applyNumberFormat="0" applyBorder="0" applyAlignment="0" applyProtection="0">
      <alignment vertical="center"/>
    </xf>
    <xf numFmtId="0" fontId="52" fillId="4"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0" fillId="0" borderId="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63" fillId="6" borderId="0" applyNumberFormat="0" applyBorder="0" applyAlignment="0" applyProtection="0">
      <alignment vertical="center"/>
    </xf>
    <xf numFmtId="0" fontId="61" fillId="7" borderId="0" applyNumberFormat="0" applyBorder="0" applyAlignment="0" applyProtection="0">
      <alignment vertical="center"/>
    </xf>
    <xf numFmtId="0" fontId="63" fillId="6" borderId="0" applyNumberFormat="0" applyBorder="0" applyAlignment="0" applyProtection="0">
      <alignment vertical="center"/>
    </xf>
    <xf numFmtId="0" fontId="61" fillId="7" borderId="0" applyNumberFormat="0" applyBorder="0" applyAlignment="0" applyProtection="0">
      <alignment vertical="center"/>
    </xf>
    <xf numFmtId="0" fontId="63" fillId="6" borderId="0" applyNumberFormat="0" applyBorder="0" applyAlignment="0" applyProtection="0">
      <alignment vertical="center"/>
    </xf>
    <xf numFmtId="0" fontId="61" fillId="7" borderId="0" applyNumberFormat="0" applyBorder="0" applyAlignment="0" applyProtection="0">
      <alignment vertical="center"/>
    </xf>
    <xf numFmtId="0" fontId="63" fillId="6" borderId="0" applyNumberFormat="0" applyBorder="0" applyAlignment="0" applyProtection="0">
      <alignment vertical="center"/>
    </xf>
    <xf numFmtId="0" fontId="61" fillId="7" borderId="0" applyNumberFormat="0" applyBorder="0" applyAlignment="0" applyProtection="0">
      <alignment vertical="center"/>
    </xf>
    <xf numFmtId="0" fontId="63" fillId="6"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52" fillId="4" borderId="0" applyNumberFormat="0" applyBorder="0" applyAlignment="0" applyProtection="0">
      <alignment vertical="center"/>
    </xf>
    <xf numFmtId="0" fontId="61" fillId="7" borderId="0" applyNumberFormat="0" applyBorder="0" applyAlignment="0" applyProtection="0">
      <alignment vertical="center"/>
    </xf>
    <xf numFmtId="0" fontId="52" fillId="4" borderId="0" applyNumberFormat="0" applyBorder="0" applyAlignment="0" applyProtection="0">
      <alignment vertical="center"/>
    </xf>
    <xf numFmtId="0" fontId="63" fillId="6" borderId="0" applyNumberFormat="0" applyBorder="0" applyAlignment="0" applyProtection="0">
      <alignment vertical="center"/>
    </xf>
    <xf numFmtId="0" fontId="52" fillId="6"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76" fillId="4"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0" fillId="0" borderId="0"/>
    <xf numFmtId="0" fontId="52" fillId="6" borderId="0" applyNumberFormat="0" applyBorder="0" applyAlignment="0" applyProtection="0">
      <alignment vertical="center"/>
    </xf>
    <xf numFmtId="0" fontId="61" fillId="7" borderId="0" applyNumberFormat="0" applyBorder="0" applyAlignment="0" applyProtection="0">
      <alignment vertical="center"/>
    </xf>
    <xf numFmtId="0" fontId="58" fillId="9" borderId="0" applyNumberFormat="0" applyBorder="0" applyAlignment="0" applyProtection="0">
      <alignment vertical="center"/>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60" fillId="9"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76" fillId="4" borderId="0" applyNumberFormat="0" applyBorder="0" applyAlignment="0" applyProtection="0">
      <alignment vertical="center"/>
    </xf>
    <xf numFmtId="0" fontId="63" fillId="6" borderId="0" applyNumberFormat="0" applyBorder="0" applyAlignment="0" applyProtection="0">
      <alignment vertical="center"/>
    </xf>
    <xf numFmtId="0" fontId="58" fillId="9" borderId="0" applyNumberFormat="0" applyBorder="0" applyAlignment="0" applyProtection="0">
      <alignment vertical="center"/>
    </xf>
    <xf numFmtId="0" fontId="63" fillId="6" borderId="0" applyNumberFormat="0" applyBorder="0" applyAlignment="0" applyProtection="0">
      <alignment vertical="center"/>
    </xf>
    <xf numFmtId="0" fontId="58" fillId="7" borderId="0" applyNumberFormat="0" applyBorder="0" applyAlignment="0" applyProtection="0">
      <alignment vertical="center"/>
    </xf>
    <xf numFmtId="0" fontId="58" fillId="9"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60" fillId="9" borderId="0" applyNumberFormat="0" applyBorder="0" applyAlignment="0" applyProtection="0">
      <alignment vertical="center"/>
    </xf>
    <xf numFmtId="0" fontId="4" fillId="0" borderId="0"/>
    <xf numFmtId="0" fontId="27" fillId="0" borderId="0"/>
    <xf numFmtId="0" fontId="27" fillId="0" borderId="0"/>
    <xf numFmtId="0" fontId="27" fillId="0" borderId="0"/>
    <xf numFmtId="0" fontId="0" fillId="0" borderId="0"/>
    <xf numFmtId="0" fontId="58" fillId="7"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9" borderId="0" applyNumberFormat="0" applyBorder="0" applyAlignment="0" applyProtection="0"/>
    <xf numFmtId="0" fontId="81" fillId="7" borderId="0" applyNumberFormat="0" applyBorder="0" applyAlignment="0" applyProtection="0">
      <alignment vertical="center"/>
    </xf>
    <xf numFmtId="0" fontId="6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58" fillId="9" borderId="0" applyNumberFormat="0" applyBorder="0" applyAlignment="0" applyProtection="0">
      <alignment vertical="center"/>
    </xf>
    <xf numFmtId="0" fontId="61" fillId="15" borderId="0" applyNumberFormat="0" applyBorder="0" applyAlignment="0" applyProtection="0"/>
    <xf numFmtId="0" fontId="61" fillId="9" borderId="0" applyNumberFormat="0" applyBorder="0" applyAlignment="0" applyProtection="0"/>
    <xf numFmtId="0" fontId="61" fillId="7" borderId="0" applyNumberFormat="0" applyBorder="0" applyAlignment="0" applyProtection="0">
      <alignment vertical="center"/>
    </xf>
    <xf numFmtId="0" fontId="58" fillId="7" borderId="0" applyNumberFormat="0" applyBorder="0" applyAlignment="0" applyProtection="0">
      <alignment vertical="center"/>
    </xf>
    <xf numFmtId="0" fontId="61" fillId="7" borderId="0" applyNumberFormat="0" applyBorder="0" applyAlignment="0" applyProtection="0">
      <alignment vertical="center"/>
    </xf>
    <xf numFmtId="0" fontId="58" fillId="7" borderId="0" applyNumberFormat="0" applyBorder="0" applyAlignment="0" applyProtection="0">
      <alignment vertical="center"/>
    </xf>
    <xf numFmtId="0" fontId="61" fillId="7" borderId="0" applyNumberFormat="0" applyBorder="0" applyAlignment="0" applyProtection="0">
      <alignment vertical="center"/>
    </xf>
    <xf numFmtId="0" fontId="58" fillId="7" borderId="0" applyNumberFormat="0" applyBorder="0" applyAlignment="0" applyProtection="0">
      <alignment vertical="center"/>
    </xf>
    <xf numFmtId="0" fontId="61" fillId="7"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81" fillId="7" borderId="0" applyNumberFormat="0" applyBorder="0" applyAlignment="0" applyProtection="0">
      <alignment vertical="center"/>
    </xf>
    <xf numFmtId="0" fontId="58" fillId="9" borderId="0" applyNumberFormat="0" applyBorder="0" applyAlignment="0" applyProtection="0">
      <alignment vertical="center"/>
    </xf>
    <xf numFmtId="0" fontId="72" fillId="63" borderId="0" applyNumberFormat="0" applyBorder="0" applyAlignment="0" applyProtection="0">
      <alignment vertical="center"/>
    </xf>
    <xf numFmtId="0" fontId="81" fillId="7"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137" fillId="0" borderId="22" applyNumberFormat="0" applyFill="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61"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9" borderId="0" applyNumberFormat="0" applyBorder="0" applyAlignment="0" applyProtection="0"/>
    <xf numFmtId="0" fontId="61" fillId="9" borderId="0" applyNumberFormat="0" applyBorder="0" applyAlignment="0" applyProtection="0">
      <alignment vertical="center"/>
    </xf>
    <xf numFmtId="0" fontId="61" fillId="9" borderId="0" applyNumberFormat="0" applyBorder="0" applyAlignment="0" applyProtection="0"/>
    <xf numFmtId="0" fontId="58" fillId="7" borderId="0" applyNumberFormat="0" applyBorder="0" applyAlignment="0" applyProtection="0">
      <alignment vertical="center"/>
    </xf>
    <xf numFmtId="0" fontId="8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81" fillId="7"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81" fillId="7"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58" fillId="7" borderId="0" applyNumberFormat="0" applyBorder="0" applyAlignment="0" applyProtection="0">
      <alignment vertical="center"/>
    </xf>
    <xf numFmtId="0" fontId="61" fillId="9" borderId="0" applyNumberFormat="0" applyBorder="0" applyAlignment="0" applyProtection="0"/>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136" fillId="0" borderId="0" applyNumberFormat="0" applyFill="0" applyBorder="0" applyAlignment="0" applyProtection="0">
      <alignment vertical="top"/>
      <protection locked="0"/>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60" fillId="9" borderId="0" applyNumberFormat="0" applyBorder="0" applyAlignment="0" applyProtection="0">
      <alignment vertical="center"/>
    </xf>
    <xf numFmtId="0" fontId="79" fillId="7"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79" fillId="7" borderId="0" applyNumberFormat="0" applyBorder="0" applyAlignment="0" applyProtection="0">
      <alignment vertical="center"/>
    </xf>
    <xf numFmtId="0" fontId="79" fillId="7" borderId="0" applyNumberFormat="0" applyBorder="0" applyAlignment="0" applyProtection="0">
      <alignment vertical="center"/>
    </xf>
    <xf numFmtId="0" fontId="136" fillId="0" borderId="0" applyNumberFormat="0" applyFill="0" applyBorder="0" applyAlignment="0" applyProtection="0">
      <alignment vertical="top"/>
      <protection locked="0"/>
    </xf>
    <xf numFmtId="0" fontId="135" fillId="0" borderId="35" applyNumberFormat="0" applyFill="0" applyAlignment="0" applyProtection="0">
      <alignment vertical="center"/>
    </xf>
    <xf numFmtId="0" fontId="138" fillId="42" borderId="18" applyNumberFormat="0" applyAlignment="0" applyProtection="0">
      <alignment vertical="center"/>
    </xf>
    <xf numFmtId="0" fontId="139" fillId="66" borderId="32" applyNumberFormat="0" applyAlignment="0" applyProtection="0">
      <alignment vertical="center"/>
    </xf>
    <xf numFmtId="0" fontId="107" fillId="0" borderId="21" applyNumberFormat="0" applyFill="0" applyProtection="0">
      <alignment horizontal="left"/>
    </xf>
    <xf numFmtId="185" fontId="16" fillId="0" borderId="0" applyFont="0" applyFill="0" applyBorder="0" applyAlignment="0" applyProtection="0"/>
    <xf numFmtId="200" fontId="16" fillId="0" borderId="0" applyFont="0" applyFill="0" applyBorder="0" applyAlignment="0" applyProtection="0"/>
    <xf numFmtId="190" fontId="16" fillId="0" borderId="0" applyFont="0" applyFill="0" applyBorder="0" applyAlignment="0" applyProtection="0"/>
    <xf numFmtId="201" fontId="16" fillId="0" borderId="0" applyFont="0" applyFill="0" applyBorder="0" applyAlignment="0" applyProtection="0"/>
    <xf numFmtId="0" fontId="5" fillId="0" borderId="0"/>
    <xf numFmtId="41"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alignment vertical="center"/>
    </xf>
    <xf numFmtId="41" fontId="67" fillId="0" borderId="0" applyFont="0" applyFill="0" applyBorder="0" applyAlignment="0" applyProtection="0">
      <alignment vertical="center"/>
    </xf>
    <xf numFmtId="198" fontId="28" fillId="0" borderId="0" applyFont="0" applyFill="0" applyBorder="0" applyAlignment="0" applyProtection="0"/>
    <xf numFmtId="43" fontId="0" fillId="0" borderId="0" applyFont="0" applyFill="0" applyBorder="0" applyAlignment="0" applyProtection="0"/>
    <xf numFmtId="0" fontId="134" fillId="71" borderId="0" applyNumberFormat="0" applyBorder="0" applyAlignment="0" applyProtection="0"/>
    <xf numFmtId="0" fontId="134" fillId="70" borderId="0" applyNumberFormat="0" applyBorder="0" applyAlignment="0" applyProtection="0"/>
    <xf numFmtId="0" fontId="134" fillId="72" borderId="0" applyNumberFormat="0" applyBorder="0" applyAlignment="0" applyProtection="0"/>
    <xf numFmtId="0" fontId="72" fillId="17" borderId="0" applyNumberFormat="0" applyBorder="0" applyAlignment="0" applyProtection="0">
      <alignment vertical="center"/>
    </xf>
    <xf numFmtId="0" fontId="72" fillId="25" borderId="0" applyNumberFormat="0" applyBorder="0" applyAlignment="0" applyProtection="0">
      <alignment vertical="center"/>
    </xf>
    <xf numFmtId="0" fontId="72" fillId="22" borderId="0" applyNumberFormat="0" applyBorder="0" applyAlignment="0" applyProtection="0">
      <alignment vertical="center"/>
    </xf>
    <xf numFmtId="0" fontId="140" fillId="61" borderId="0" applyNumberFormat="0" applyBorder="0" applyAlignment="0" applyProtection="0">
      <alignment vertical="center"/>
    </xf>
    <xf numFmtId="1" fontId="27" fillId="0" borderId="21" applyFill="0" applyProtection="0">
      <alignment horizontal="center"/>
    </xf>
    <xf numFmtId="0" fontId="141" fillId="0" borderId="0"/>
    <xf numFmtId="0" fontId="27" fillId="0" borderId="0"/>
    <xf numFmtId="0" fontId="92" fillId="0" borderId="0"/>
    <xf numFmtId="43" fontId="27" fillId="0" borderId="0" applyFont="0" applyFill="0" applyBorder="0" applyAlignment="0" applyProtection="0"/>
    <xf numFmtId="0" fontId="0" fillId="38" borderId="34" applyNumberFormat="0" applyFont="0" applyAlignment="0" applyProtection="0">
      <alignment vertical="center"/>
    </xf>
    <xf numFmtId="38" fontId="103" fillId="0" borderId="0" applyFont="0" applyFill="0" applyBorder="0" applyAlignment="0" applyProtection="0"/>
    <xf numFmtId="0" fontId="98" fillId="0" borderId="0"/>
  </cellStyleXfs>
  <cellXfs count="393">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xf numFmtId="0" fontId="3" fillId="0" borderId="0" xfId="0" applyFont="1" applyFill="1" applyAlignment="1">
      <alignment horizontal="center" vertical="center" wrapText="1"/>
    </xf>
    <xf numFmtId="0" fontId="4" fillId="0" borderId="0" xfId="862" applyFont="1" applyFill="1"/>
    <xf numFmtId="202" fontId="5" fillId="0" borderId="0" xfId="862" applyNumberFormat="1" applyFont="1" applyFill="1" applyAlignment="1"/>
    <xf numFmtId="0" fontId="4" fillId="0" borderId="0" xfId="862" applyFont="1" applyFill="1" applyAlignment="1"/>
    <xf numFmtId="202" fontId="5" fillId="0" borderId="0" xfId="1124" applyNumberFormat="1" applyFont="1" applyFill="1" applyAlignment="1">
      <alignment horizontal="center" vertical="center" wrapText="1"/>
    </xf>
    <xf numFmtId="0" fontId="6" fillId="0" borderId="1" xfId="870" applyNumberFormat="1" applyFont="1" applyFill="1" applyBorder="1" applyAlignment="1" applyProtection="1">
      <alignment horizontal="center" vertical="center"/>
    </xf>
    <xf numFmtId="0" fontId="6" fillId="0" borderId="2" xfId="870" applyNumberFormat="1" applyFont="1" applyFill="1" applyBorder="1" applyAlignment="1" applyProtection="1">
      <alignment horizontal="center" vertical="center" wrapText="1"/>
    </xf>
    <xf numFmtId="0" fontId="6" fillId="0" borderId="2" xfId="870" applyNumberFormat="1" applyFont="1" applyFill="1" applyBorder="1" applyAlignment="1" applyProtection="1">
      <alignment vertical="center" wrapText="1"/>
    </xf>
    <xf numFmtId="0" fontId="6" fillId="0" borderId="3" xfId="870" applyNumberFormat="1" applyFont="1" applyFill="1" applyBorder="1" applyAlignment="1" applyProtection="1">
      <alignment horizontal="center" vertical="center"/>
    </xf>
    <xf numFmtId="0" fontId="7" fillId="0" borderId="2" xfId="1124" applyFont="1" applyFill="1" applyBorder="1" applyAlignment="1">
      <alignment horizontal="center" vertical="center" wrapText="1"/>
    </xf>
    <xf numFmtId="203" fontId="8" fillId="0" borderId="2" xfId="690" applyNumberFormat="1" applyFont="1" applyFill="1" applyBorder="1" applyAlignment="1">
      <alignment horizontal="center" vertical="center" wrapText="1"/>
    </xf>
    <xf numFmtId="202" fontId="7" fillId="0" borderId="2" xfId="690" applyNumberFormat="1" applyFont="1" applyFill="1" applyBorder="1" applyAlignment="1">
      <alignment horizontal="center" vertical="center" wrapText="1"/>
    </xf>
    <xf numFmtId="0" fontId="6" fillId="0" borderId="2" xfId="870" applyNumberFormat="1" applyFont="1" applyFill="1" applyBorder="1" applyAlignment="1" applyProtection="1">
      <alignment vertical="center"/>
    </xf>
    <xf numFmtId="203" fontId="9" fillId="0" borderId="2" xfId="870" applyNumberFormat="1" applyFont="1" applyFill="1" applyBorder="1" applyAlignment="1" applyProtection="1">
      <alignment horizontal="right" vertical="center"/>
    </xf>
    <xf numFmtId="202" fontId="7" fillId="0" borderId="2" xfId="15" applyNumberFormat="1" applyFont="1" applyFill="1" applyBorder="1" applyAlignment="1">
      <alignment horizontal="right" vertical="center" wrapText="1"/>
    </xf>
    <xf numFmtId="0" fontId="10" fillId="0" borderId="2" xfId="732" applyFont="1" applyFill="1" applyBorder="1" applyAlignment="1">
      <alignment vertical="center" wrapText="1"/>
    </xf>
    <xf numFmtId="0" fontId="11" fillId="0" borderId="2" xfId="870" applyNumberFormat="1" applyFont="1" applyFill="1" applyBorder="1" applyAlignment="1" applyProtection="1">
      <alignment vertical="center"/>
    </xf>
    <xf numFmtId="203" fontId="5" fillId="0" borderId="2" xfId="15" applyNumberFormat="1" applyFont="1" applyFill="1" applyBorder="1" applyAlignment="1">
      <alignment horizontal="right" vertical="center" wrapText="1"/>
    </xf>
    <xf numFmtId="202" fontId="5" fillId="0" borderId="2" xfId="15" applyNumberFormat="1" applyFont="1" applyFill="1" applyBorder="1" applyAlignment="1">
      <alignment horizontal="right" vertical="center" wrapText="1"/>
    </xf>
    <xf numFmtId="203" fontId="5" fillId="0" borderId="2" xfId="0" applyNumberFormat="1" applyFont="1" applyFill="1" applyBorder="1" applyAlignment="1">
      <alignment vertical="center" wrapText="1"/>
    </xf>
    <xf numFmtId="0" fontId="12" fillId="0" borderId="2" xfId="870" applyNumberFormat="1" applyFont="1" applyFill="1" applyBorder="1" applyAlignment="1" applyProtection="1">
      <alignment vertical="center"/>
    </xf>
    <xf numFmtId="203" fontId="5" fillId="0" borderId="2" xfId="1111" applyNumberFormat="1" applyFont="1" applyFill="1" applyBorder="1" applyAlignment="1">
      <alignment horizontal="right" vertical="center" wrapText="1"/>
    </xf>
    <xf numFmtId="203" fontId="7" fillId="0" borderId="2" xfId="1111" applyNumberFormat="1" applyFont="1" applyFill="1" applyBorder="1" applyAlignment="1">
      <alignment horizontal="right" vertical="center" wrapText="1"/>
    </xf>
    <xf numFmtId="3" fontId="5" fillId="0" borderId="2" xfId="0" applyNumberFormat="1" applyFont="1" applyFill="1" applyBorder="1" applyAlignment="1">
      <alignment vertical="center" wrapText="1"/>
    </xf>
    <xf numFmtId="3" fontId="5" fillId="0" borderId="2" xfId="862" applyNumberFormat="1" applyFont="1" applyFill="1" applyBorder="1" applyAlignment="1" applyProtection="1">
      <alignment horizontal="right" vertical="center"/>
    </xf>
    <xf numFmtId="203" fontId="13" fillId="0" borderId="2" xfId="15" applyNumberFormat="1" applyFont="1" applyFill="1" applyBorder="1" applyAlignment="1">
      <alignment horizontal="right" vertical="center"/>
    </xf>
    <xf numFmtId="203" fontId="11" fillId="0" borderId="2" xfId="870" applyNumberFormat="1" applyFont="1" applyFill="1" applyBorder="1" applyAlignment="1" applyProtection="1">
      <alignment horizontal="right" vertical="center"/>
    </xf>
    <xf numFmtId="0" fontId="14" fillId="0" borderId="2" xfId="870" applyNumberFormat="1" applyFont="1" applyFill="1" applyBorder="1" applyAlignment="1" applyProtection="1">
      <alignment vertical="center"/>
    </xf>
    <xf numFmtId="203" fontId="7" fillId="0" borderId="2" xfId="15" applyNumberFormat="1" applyFont="1" applyFill="1" applyBorder="1" applyAlignment="1">
      <alignment horizontal="right" vertical="center" wrapText="1"/>
    </xf>
    <xf numFmtId="0" fontId="15" fillId="0" borderId="2" xfId="732" applyFont="1" applyFill="1" applyBorder="1" applyAlignment="1">
      <alignment vertical="center" wrapText="1"/>
    </xf>
    <xf numFmtId="0" fontId="16" fillId="0" borderId="0" xfId="1124" applyFont="1" applyFill="1" applyAlignment="1">
      <alignment wrapText="1"/>
    </xf>
    <xf numFmtId="0" fontId="5" fillId="0" borderId="0" xfId="1124" applyFont="1" applyFill="1" applyAlignment="1">
      <alignment vertical="center" wrapText="1"/>
    </xf>
    <xf numFmtId="0" fontId="7" fillId="0" borderId="0" xfId="1124" applyFont="1" applyFill="1" applyAlignment="1">
      <alignment wrapText="1"/>
    </xf>
    <xf numFmtId="0" fontId="7" fillId="0" borderId="0" xfId="1124" applyFont="1" applyFill="1" applyAlignment="1">
      <alignment vertical="center" wrapText="1"/>
    </xf>
    <xf numFmtId="0" fontId="5" fillId="0" borderId="0" xfId="1124" applyFont="1" applyFill="1" applyAlignment="1">
      <alignment wrapText="1"/>
    </xf>
    <xf numFmtId="202" fontId="5" fillId="0" borderId="0" xfId="1124" applyNumberFormat="1" applyFont="1" applyFill="1" applyAlignment="1">
      <alignment wrapText="1"/>
    </xf>
    <xf numFmtId="197" fontId="5" fillId="0" borderId="0" xfId="1124" applyNumberFormat="1" applyFont="1" applyFill="1" applyAlignment="1">
      <alignment wrapText="1"/>
    </xf>
    <xf numFmtId="0" fontId="3" fillId="0" borderId="0" xfId="1124" applyFont="1" applyFill="1" applyAlignment="1">
      <alignment horizontal="center" vertical="center" wrapText="1"/>
    </xf>
    <xf numFmtId="0" fontId="17" fillId="0" borderId="0" xfId="1124" applyFont="1" applyFill="1" applyAlignment="1">
      <alignment horizontal="center" vertical="center" wrapText="1"/>
    </xf>
    <xf numFmtId="197" fontId="17" fillId="0" borderId="0" xfId="1124" applyNumberFormat="1" applyFont="1" applyFill="1" applyAlignment="1">
      <alignment horizontal="center" vertical="center" wrapText="1"/>
    </xf>
    <xf numFmtId="202" fontId="16" fillId="0" borderId="0" xfId="1124" applyNumberFormat="1" applyFont="1" applyFill="1" applyAlignment="1">
      <alignment wrapText="1"/>
    </xf>
    <xf numFmtId="197" fontId="16" fillId="0" borderId="0" xfId="1124" applyNumberFormat="1" applyFont="1" applyFill="1" applyAlignment="1">
      <alignment wrapText="1"/>
    </xf>
    <xf numFmtId="202" fontId="5" fillId="0" borderId="0" xfId="1124" applyNumberFormat="1" applyFont="1" applyFill="1" applyBorder="1" applyAlignment="1">
      <alignment horizontal="right" vertical="center" wrapText="1"/>
    </xf>
    <xf numFmtId="197" fontId="7" fillId="0" borderId="4" xfId="1124" applyNumberFormat="1" applyFont="1" applyFill="1" applyBorder="1" applyAlignment="1">
      <alignment horizontal="center" vertical="center" wrapText="1"/>
    </xf>
    <xf numFmtId="0" fontId="7" fillId="0" borderId="5" xfId="1124" applyFont="1" applyFill="1" applyBorder="1" applyAlignment="1">
      <alignment horizontal="center" vertical="center" wrapText="1"/>
    </xf>
    <xf numFmtId="0" fontId="7" fillId="0" borderId="6" xfId="1124" applyFont="1" applyFill="1" applyBorder="1" applyAlignment="1">
      <alignment horizontal="center" vertical="center" wrapText="1"/>
    </xf>
    <xf numFmtId="197" fontId="7" fillId="0" borderId="2" xfId="1124" applyNumberFormat="1" applyFont="1" applyFill="1" applyBorder="1" applyAlignment="1">
      <alignment horizontal="center" vertical="center" wrapText="1"/>
    </xf>
    <xf numFmtId="0" fontId="18" fillId="0" borderId="2" xfId="1124" applyFont="1" applyFill="1" applyBorder="1" applyAlignment="1">
      <alignment horizontal="center" vertical="center" wrapText="1"/>
    </xf>
    <xf numFmtId="0" fontId="5" fillId="0" borderId="2" xfId="1124" applyFont="1" applyFill="1" applyBorder="1" applyAlignment="1">
      <alignment vertical="center" wrapText="1"/>
    </xf>
    <xf numFmtId="204" fontId="5" fillId="0" borderId="2" xfId="15" applyNumberFormat="1" applyFont="1" applyFill="1" applyBorder="1" applyAlignment="1">
      <alignment horizontal="right" vertical="center" wrapText="1"/>
    </xf>
    <xf numFmtId="197" fontId="5" fillId="0" borderId="2" xfId="15" applyNumberFormat="1" applyFont="1" applyFill="1" applyBorder="1" applyAlignment="1">
      <alignment horizontal="right" vertical="center" wrapText="1"/>
    </xf>
    <xf numFmtId="203" fontId="4" fillId="0" borderId="2" xfId="15" applyNumberFormat="1" applyFont="1" applyFill="1" applyBorder="1" applyAlignment="1">
      <alignment horizontal="left" vertical="center" wrapText="1"/>
    </xf>
    <xf numFmtId="0" fontId="4" fillId="0" borderId="2" xfId="1124" applyFont="1" applyFill="1" applyBorder="1" applyAlignment="1">
      <alignment vertical="center" wrapText="1"/>
    </xf>
    <xf numFmtId="0" fontId="18" fillId="0" borderId="2" xfId="871" applyFont="1" applyFill="1" applyBorder="1" applyAlignment="1">
      <alignment horizontal="center" vertical="center"/>
    </xf>
    <xf numFmtId="197" fontId="7" fillId="0" borderId="2" xfId="15" applyNumberFormat="1" applyFont="1" applyFill="1" applyBorder="1" applyAlignment="1">
      <alignment horizontal="right" vertical="center" wrapText="1"/>
    </xf>
    <xf numFmtId="0" fontId="7" fillId="0" borderId="2" xfId="1124" applyFont="1" applyFill="1" applyBorder="1" applyAlignment="1">
      <alignment wrapText="1"/>
    </xf>
    <xf numFmtId="0" fontId="5" fillId="0" borderId="2" xfId="871" applyFont="1" applyFill="1" applyBorder="1" applyAlignment="1">
      <alignment vertical="center"/>
    </xf>
    <xf numFmtId="0" fontId="4" fillId="0" borderId="2" xfId="0" applyFont="1" applyFill="1" applyBorder="1" applyAlignment="1">
      <alignment vertical="center" wrapText="1"/>
    </xf>
    <xf numFmtId="0" fontId="5" fillId="0" borderId="2" xfId="871" applyFont="1" applyFill="1" applyBorder="1" applyAlignment="1">
      <alignment vertical="center" wrapText="1"/>
    </xf>
    <xf numFmtId="203" fontId="5" fillId="0" borderId="2" xfId="15" applyNumberFormat="1" applyFont="1" applyFill="1" applyBorder="1" applyAlignment="1">
      <alignment horizontal="left" vertical="center" wrapText="1"/>
    </xf>
    <xf numFmtId="204" fontId="7" fillId="0" borderId="2" xfId="15" applyNumberFormat="1" applyFont="1" applyFill="1" applyBorder="1" applyAlignment="1">
      <alignment horizontal="right" vertical="center" wrapText="1"/>
    </xf>
    <xf numFmtId="203" fontId="7" fillId="0" borderId="2" xfId="15" applyNumberFormat="1" applyFont="1" applyFill="1" applyBorder="1" applyAlignment="1">
      <alignment horizontal="left" vertical="center" wrapText="1"/>
    </xf>
    <xf numFmtId="203" fontId="5" fillId="0" borderId="2" xfId="15" applyNumberFormat="1" applyFont="1" applyFill="1" applyBorder="1" applyAlignment="1">
      <alignment vertical="center" wrapText="1"/>
    </xf>
    <xf numFmtId="0" fontId="5" fillId="0" borderId="2" xfId="1124" applyFont="1" applyFill="1" applyBorder="1" applyAlignment="1">
      <alignment wrapText="1"/>
    </xf>
    <xf numFmtId="0" fontId="4" fillId="0" borderId="2" xfId="871" applyFont="1" applyFill="1" applyBorder="1" applyAlignment="1">
      <alignment vertical="center"/>
    </xf>
    <xf numFmtId="0" fontId="18" fillId="0" borderId="2" xfId="871" applyFont="1" applyFill="1" applyBorder="1" applyAlignment="1">
      <alignment horizontal="center" vertical="center" wrapText="1"/>
    </xf>
    <xf numFmtId="0" fontId="19" fillId="0" borderId="0" xfId="0" applyFont="1" applyFill="1"/>
    <xf numFmtId="0" fontId="20" fillId="0" borderId="0" xfId="872" applyFont="1" applyFill="1" applyAlignment="1">
      <alignment vertical="center" wrapText="1"/>
    </xf>
    <xf numFmtId="0" fontId="21" fillId="0" borderId="0" xfId="872" applyFont="1" applyFill="1" applyAlignment="1">
      <alignment vertical="center" wrapText="1"/>
    </xf>
    <xf numFmtId="203" fontId="21" fillId="0" borderId="0" xfId="872" applyNumberFormat="1" applyFont="1" applyFill="1" applyAlignment="1">
      <alignment horizontal="right" vertical="center" wrapText="1"/>
    </xf>
    <xf numFmtId="0" fontId="5" fillId="0" borderId="0" xfId="872" applyFont="1" applyFill="1" applyAlignment="1">
      <alignment vertical="center" wrapText="1"/>
    </xf>
    <xf numFmtId="0" fontId="22" fillId="0" borderId="0" xfId="872" applyFont="1" applyFill="1" applyBorder="1" applyAlignment="1">
      <alignment horizontal="center" vertical="center" wrapText="1"/>
    </xf>
    <xf numFmtId="0" fontId="23" fillId="0" borderId="0" xfId="872" applyFont="1" applyFill="1" applyBorder="1" applyAlignment="1">
      <alignment horizontal="right" vertical="center" wrapText="1"/>
    </xf>
    <xf numFmtId="0" fontId="17" fillId="0" borderId="0" xfId="872" applyFont="1" applyFill="1" applyBorder="1" applyAlignment="1">
      <alignment horizontal="center" vertical="center" wrapText="1"/>
    </xf>
    <xf numFmtId="0" fontId="21" fillId="0" borderId="0" xfId="872" applyFont="1" applyFill="1" applyBorder="1" applyAlignment="1">
      <alignment horizontal="left" vertical="center" wrapText="1"/>
    </xf>
    <xf numFmtId="0" fontId="4" fillId="0" borderId="0" xfId="872" applyFont="1" applyFill="1" applyAlignment="1">
      <alignment horizontal="right" vertical="center" wrapText="1"/>
    </xf>
    <xf numFmtId="0" fontId="20" fillId="0" borderId="4" xfId="872" applyFont="1" applyFill="1" applyBorder="1" applyAlignment="1">
      <alignment horizontal="center" vertical="center" wrapText="1"/>
    </xf>
    <xf numFmtId="203" fontId="20" fillId="0" borderId="2" xfId="872" applyNumberFormat="1" applyFont="1" applyFill="1" applyBorder="1" applyAlignment="1">
      <alignment horizontal="center" vertical="center" wrapText="1"/>
    </xf>
    <xf numFmtId="0" fontId="18" fillId="0" borderId="2" xfId="872" applyFont="1" applyFill="1" applyBorder="1" applyAlignment="1">
      <alignment horizontal="center" vertical="center" wrapText="1"/>
    </xf>
    <xf numFmtId="0" fontId="24" fillId="0" borderId="2" xfId="872" applyFont="1" applyFill="1" applyBorder="1" applyAlignment="1">
      <alignment horizontal="left" vertical="center" wrapText="1"/>
    </xf>
    <xf numFmtId="0" fontId="25" fillId="0" borderId="2" xfId="1124" applyFont="1" applyFill="1" applyBorder="1" applyAlignment="1">
      <alignment vertical="center" wrapText="1"/>
    </xf>
    <xf numFmtId="0" fontId="20" fillId="0" borderId="2" xfId="872" applyFont="1" applyFill="1" applyBorder="1" applyAlignment="1">
      <alignment horizontal="left" vertical="center" wrapText="1"/>
    </xf>
    <xf numFmtId="0" fontId="26" fillId="0" borderId="2" xfId="1124" applyFont="1" applyFill="1" applyBorder="1" applyAlignment="1">
      <alignment vertical="center" wrapText="1"/>
    </xf>
    <xf numFmtId="0" fontId="16" fillId="0" borderId="0" xfId="0" applyFont="1" applyFill="1" applyBorder="1" applyAlignment="1">
      <alignment vertical="center"/>
    </xf>
    <xf numFmtId="0" fontId="20" fillId="0" borderId="2" xfId="872" applyFont="1" applyFill="1" applyBorder="1" applyAlignment="1">
      <alignment vertical="center" wrapText="1"/>
    </xf>
    <xf numFmtId="0" fontId="24" fillId="0" borderId="2" xfId="872" applyFont="1" applyFill="1" applyBorder="1" applyAlignment="1">
      <alignment vertical="center" wrapText="1"/>
    </xf>
    <xf numFmtId="0" fontId="20" fillId="0" borderId="0" xfId="872" applyNumberFormat="1" applyFont="1" applyFill="1" applyAlignment="1">
      <alignment vertical="center" wrapText="1"/>
    </xf>
    <xf numFmtId="0" fontId="20" fillId="0" borderId="2" xfId="872" applyFont="1" applyFill="1" applyBorder="1" applyAlignment="1">
      <alignment horizontal="center" vertical="center" wrapText="1"/>
    </xf>
    <xf numFmtId="203" fontId="20" fillId="0" borderId="2" xfId="15" applyNumberFormat="1" applyFont="1" applyFill="1" applyBorder="1" applyAlignment="1">
      <alignment horizontal="right" vertical="center" wrapText="1"/>
    </xf>
    <xf numFmtId="0" fontId="5" fillId="0" borderId="2" xfId="872" applyFont="1" applyFill="1" applyBorder="1" applyAlignment="1">
      <alignment horizontal="right"/>
    </xf>
    <xf numFmtId="0" fontId="5" fillId="0" borderId="0" xfId="872" applyFont="1" applyFill="1" applyAlignment="1">
      <alignment horizontal="left"/>
    </xf>
    <xf numFmtId="0" fontId="5" fillId="0" borderId="0" xfId="872" applyFont="1" applyFill="1" applyAlignment="1">
      <alignment horizontal="right"/>
    </xf>
    <xf numFmtId="0" fontId="27" fillId="0" borderId="0" xfId="0" applyFont="1" applyFill="1" applyAlignment="1">
      <alignment vertical="center" wrapText="1"/>
    </xf>
    <xf numFmtId="0" fontId="4" fillId="0" borderId="0" xfId="0" applyFont="1" applyFill="1" applyAlignment="1">
      <alignment vertical="center" wrapText="1"/>
    </xf>
    <xf numFmtId="0" fontId="18" fillId="0" borderId="0" xfId="0" applyFont="1" applyFill="1" applyAlignment="1">
      <alignment vertical="center" wrapText="1"/>
    </xf>
    <xf numFmtId="0" fontId="28" fillId="0" borderId="0" xfId="0" applyFont="1" applyFill="1" applyAlignment="1">
      <alignment vertical="center" wrapText="1"/>
    </xf>
    <xf numFmtId="203" fontId="27" fillId="0" borderId="0" xfId="0" applyNumberFormat="1" applyFont="1" applyFill="1" applyAlignment="1">
      <alignment vertical="center" wrapText="1"/>
    </xf>
    <xf numFmtId="197" fontId="27" fillId="0" borderId="0" xfId="0" applyNumberFormat="1" applyFont="1" applyFill="1" applyAlignment="1">
      <alignment vertical="center" wrapText="1"/>
    </xf>
    <xf numFmtId="0" fontId="0" fillId="0" borderId="0" xfId="0" applyFill="1"/>
    <xf numFmtId="0" fontId="3" fillId="0" borderId="0" xfId="0" applyFont="1" applyFill="1" applyBorder="1" applyAlignment="1">
      <alignment horizontal="center" vertical="center" wrapText="1"/>
    </xf>
    <xf numFmtId="197" fontId="3" fillId="0" borderId="0" xfId="0" applyNumberFormat="1" applyFont="1" applyFill="1" applyBorder="1" applyAlignment="1">
      <alignment horizontal="center" vertical="center" wrapText="1"/>
    </xf>
    <xf numFmtId="203"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203" fontId="5" fillId="0" borderId="0" xfId="0" applyNumberFormat="1" applyFont="1" applyFill="1" applyAlignment="1">
      <alignment vertical="center" wrapText="1"/>
    </xf>
    <xf numFmtId="203" fontId="4" fillId="0" borderId="0" xfId="0" applyNumberFormat="1" applyFont="1" applyFill="1" applyAlignment="1">
      <alignment vertical="center" wrapText="1"/>
    </xf>
    <xf numFmtId="197" fontId="5" fillId="0" borderId="0" xfId="0" applyNumberFormat="1" applyFont="1" applyFill="1" applyAlignment="1">
      <alignment vertical="center" wrapText="1"/>
    </xf>
    <xf numFmtId="31" fontId="29" fillId="0" borderId="0" xfId="0" applyNumberFormat="1" applyFont="1" applyFill="1" applyBorder="1" applyAlignment="1">
      <alignment horizontal="left" vertical="center" wrapText="1"/>
    </xf>
    <xf numFmtId="0" fontId="4" fillId="0" borderId="0" xfId="0" applyFont="1" applyFill="1" applyAlignment="1">
      <alignment horizontal="right" vertical="center" wrapText="1"/>
    </xf>
    <xf numFmtId="0" fontId="18" fillId="0" borderId="2" xfId="0" applyFont="1" applyFill="1" applyBorder="1" applyAlignment="1">
      <alignment horizontal="center" vertical="center" wrapText="1"/>
    </xf>
    <xf numFmtId="203" fontId="18" fillId="0" borderId="2" xfId="0" applyNumberFormat="1" applyFont="1" applyFill="1" applyBorder="1" applyAlignment="1">
      <alignment horizontal="center" vertical="center" wrapText="1"/>
    </xf>
    <xf numFmtId="197" fontId="18" fillId="0" borderId="2" xfId="0" applyNumberFormat="1" applyFont="1" applyFill="1" applyBorder="1" applyAlignment="1">
      <alignment horizontal="center" vertical="center" wrapText="1"/>
    </xf>
    <xf numFmtId="197" fontId="8" fillId="0" borderId="2" xfId="690" applyNumberFormat="1" applyFont="1" applyFill="1" applyBorder="1" applyAlignment="1">
      <alignment horizontal="center" vertical="center" wrapText="1"/>
    </xf>
    <xf numFmtId="203" fontId="8" fillId="0" borderId="2" xfId="0" applyNumberFormat="1" applyFont="1" applyFill="1" applyBorder="1" applyAlignment="1">
      <alignment horizontal="center" vertical="center" wrapText="1"/>
    </xf>
    <xf numFmtId="0" fontId="8" fillId="0" borderId="2" xfId="690" applyFont="1" applyFill="1" applyBorder="1" applyAlignment="1">
      <alignment horizontal="center" vertical="center" wrapText="1"/>
    </xf>
    <xf numFmtId="204" fontId="5" fillId="0" borderId="2" xfId="15" applyNumberFormat="1" applyFont="1" applyFill="1" applyBorder="1" applyAlignment="1">
      <alignment vertical="center"/>
    </xf>
    <xf numFmtId="202" fontId="5" fillId="0" borderId="2" xfId="0" applyNumberFormat="1" applyFont="1" applyFill="1" applyBorder="1" applyAlignment="1">
      <alignment vertical="center" wrapText="1"/>
    </xf>
    <xf numFmtId="203" fontId="7" fillId="0" borderId="2" xfId="15" applyNumberFormat="1" applyFont="1" applyFill="1" applyBorder="1" applyAlignment="1">
      <alignment vertical="center" wrapText="1"/>
    </xf>
    <xf numFmtId="202" fontId="7" fillId="0" borderId="2" xfId="0" applyNumberFormat="1" applyFont="1" applyFill="1" applyBorder="1" applyAlignment="1">
      <alignment vertical="center" wrapText="1"/>
    </xf>
    <xf numFmtId="0" fontId="18" fillId="0" borderId="2" xfId="0" applyFont="1" applyFill="1" applyBorder="1" applyAlignment="1">
      <alignment vertical="center" wrapText="1"/>
    </xf>
    <xf numFmtId="0" fontId="5" fillId="0" borderId="2" xfId="0" applyFont="1" applyFill="1" applyBorder="1" applyAlignment="1">
      <alignment vertical="center" wrapText="1"/>
    </xf>
    <xf numFmtId="0" fontId="7" fillId="0" borderId="2" xfId="0" applyFont="1" applyFill="1" applyBorder="1" applyAlignment="1">
      <alignment vertical="center" wrapText="1"/>
    </xf>
    <xf numFmtId="0" fontId="4" fillId="0" borderId="2" xfId="0" applyFont="1" applyFill="1" applyBorder="1" applyAlignment="1">
      <alignment horizontal="left" vertical="center" wrapText="1"/>
    </xf>
    <xf numFmtId="203" fontId="21" fillId="0" borderId="2" xfId="15" applyNumberFormat="1" applyFont="1" applyFill="1" applyBorder="1" applyAlignment="1">
      <alignment vertical="center" wrapText="1"/>
    </xf>
    <xf numFmtId="203" fontId="30" fillId="0" borderId="2" xfId="15" applyNumberFormat="1" applyFont="1" applyFill="1" applyBorder="1" applyAlignment="1">
      <alignment vertical="center" wrapText="1"/>
    </xf>
    <xf numFmtId="0" fontId="31"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NumberFormat="1" applyFill="1" applyBorder="1" applyAlignment="1">
      <alignment vertical="center"/>
    </xf>
    <xf numFmtId="205" fontId="0" fillId="0" borderId="0" xfId="0" applyNumberFormat="1" applyFill="1" applyBorder="1" applyAlignment="1">
      <alignment vertical="center"/>
    </xf>
    <xf numFmtId="0" fontId="32" fillId="0" borderId="0" xfId="873" applyFont="1" applyFill="1" applyBorder="1" applyAlignment="1">
      <alignment horizontal="center" vertical="center" wrapText="1"/>
    </xf>
    <xf numFmtId="0" fontId="32" fillId="0" borderId="0" xfId="873" applyNumberFormat="1" applyFont="1" applyFill="1" applyBorder="1" applyAlignment="1">
      <alignment horizontal="center" vertical="center" wrapText="1"/>
    </xf>
    <xf numFmtId="0" fontId="26" fillId="0" borderId="0" xfId="0" applyFont="1" applyFill="1" applyBorder="1" applyAlignment="1">
      <alignment vertical="center"/>
    </xf>
    <xf numFmtId="41" fontId="26" fillId="0" borderId="0" xfId="25" applyNumberFormat="1" applyFont="1" applyFill="1" applyAlignment="1">
      <alignment horizontal="center" vertical="center"/>
    </xf>
    <xf numFmtId="0" fontId="26" fillId="0" borderId="0" xfId="25" applyNumberFormat="1" applyFont="1" applyFill="1" applyAlignment="1">
      <alignment horizontal="center" vertical="center"/>
    </xf>
    <xf numFmtId="205" fontId="26" fillId="0" borderId="0" xfId="25" applyNumberFormat="1" applyFont="1" applyFill="1" applyAlignment="1">
      <alignment horizontal="center" vertical="center"/>
    </xf>
    <xf numFmtId="205" fontId="29" fillId="0" borderId="0" xfId="873" applyNumberFormat="1" applyFont="1" applyFill="1" applyBorder="1" applyAlignment="1">
      <alignment horizontal="right" vertical="center" wrapText="1"/>
    </xf>
    <xf numFmtId="0" fontId="18" fillId="0" borderId="7" xfId="0" applyNumberFormat="1" applyFont="1" applyFill="1" applyBorder="1" applyAlignment="1" applyProtection="1">
      <alignment horizontal="center" vertical="center" wrapText="1"/>
    </xf>
    <xf numFmtId="0" fontId="18" fillId="0" borderId="8"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205" fontId="18" fillId="0" borderId="2" xfId="0" applyNumberFormat="1" applyFont="1" applyFill="1" applyBorder="1" applyAlignment="1" applyProtection="1">
      <alignment horizontal="center" vertical="center"/>
    </xf>
    <xf numFmtId="0" fontId="18" fillId="0" borderId="11"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wrapText="1"/>
    </xf>
    <xf numFmtId="49" fontId="18" fillId="0" borderId="7" xfId="0" applyNumberFormat="1" applyFont="1" applyFill="1" applyBorder="1" applyAlignment="1" applyProtection="1">
      <alignment horizontal="center" vertical="center"/>
    </xf>
    <xf numFmtId="49" fontId="18" fillId="0" borderId="13" xfId="0" applyNumberFormat="1" applyFont="1" applyFill="1" applyBorder="1" applyAlignment="1" applyProtection="1">
      <alignment horizontal="center" vertical="center"/>
    </xf>
    <xf numFmtId="0" fontId="18" fillId="0" borderId="7" xfId="0" applyNumberFormat="1" applyFont="1" applyFill="1" applyBorder="1" applyAlignment="1" applyProtection="1">
      <alignment horizontal="center" vertical="center"/>
    </xf>
    <xf numFmtId="205" fontId="18" fillId="0" borderId="2" xfId="0" applyNumberFormat="1" applyFont="1" applyFill="1" applyBorder="1" applyAlignment="1" applyProtection="1">
      <alignment vertical="center"/>
    </xf>
    <xf numFmtId="49" fontId="18" fillId="0" borderId="7" xfId="0" applyNumberFormat="1" applyFont="1" applyFill="1" applyBorder="1" applyAlignment="1" applyProtection="1">
      <alignment horizontal="left" vertical="center"/>
    </xf>
    <xf numFmtId="49" fontId="4" fillId="0" borderId="7"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left" vertical="center"/>
    </xf>
    <xf numFmtId="205" fontId="4" fillId="0" borderId="2" xfId="0" applyNumberFormat="1" applyFont="1" applyFill="1" applyBorder="1" applyAlignment="1" applyProtection="1">
      <alignment vertical="center"/>
    </xf>
    <xf numFmtId="203" fontId="12" fillId="0" borderId="13"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205" fontId="4" fillId="0" borderId="2" xfId="0" applyNumberFormat="1" applyFont="1" applyFill="1" applyBorder="1" applyAlignment="1" applyProtection="1">
      <alignment horizontal="right" vertical="center"/>
    </xf>
    <xf numFmtId="3" fontId="4" fillId="0" borderId="2" xfId="0" applyNumberFormat="1" applyFont="1" applyFill="1" applyBorder="1" applyAlignment="1" applyProtection="1">
      <alignment vertical="center"/>
    </xf>
    <xf numFmtId="205" fontId="18" fillId="0" borderId="2" xfId="0" applyNumberFormat="1" applyFont="1" applyFill="1" applyBorder="1" applyAlignment="1" applyProtection="1">
      <alignment horizontal="right" vertical="center"/>
    </xf>
    <xf numFmtId="203" fontId="4" fillId="0" borderId="2" xfId="0" applyNumberFormat="1" applyFont="1" applyFill="1" applyBorder="1" applyAlignment="1" applyProtection="1">
      <alignment horizontal="right" vertical="center"/>
    </xf>
    <xf numFmtId="3" fontId="4" fillId="0" borderId="2" xfId="0" applyNumberFormat="1" applyFont="1" applyFill="1" applyBorder="1" applyAlignment="1" applyProtection="1">
      <alignment horizontal="right" vertical="center"/>
    </xf>
    <xf numFmtId="205" fontId="12" fillId="0" borderId="13" xfId="0" applyNumberFormat="1" applyFont="1" applyFill="1" applyBorder="1" applyAlignment="1" applyProtection="1">
      <alignment horizontal="right" vertical="center"/>
    </xf>
    <xf numFmtId="3" fontId="26" fillId="0" borderId="2" xfId="0" applyNumberFormat="1" applyFont="1" applyFill="1" applyBorder="1" applyAlignment="1" applyProtection="1">
      <alignment horizontal="right" vertical="center"/>
    </xf>
    <xf numFmtId="0" fontId="33" fillId="0" borderId="0" xfId="873" applyFont="1" applyFill="1" applyAlignment="1"/>
    <xf numFmtId="0" fontId="16" fillId="0" borderId="0" xfId="873" applyFont="1" applyFill="1" applyAlignment="1"/>
    <xf numFmtId="0" fontId="19" fillId="0" borderId="0" xfId="873" applyFont="1" applyFill="1" applyBorder="1" applyAlignment="1"/>
    <xf numFmtId="0" fontId="19" fillId="0" borderId="0" xfId="873" applyFont="1" applyFill="1" applyAlignment="1">
      <alignment horizontal="center" vertical="center" wrapText="1"/>
    </xf>
    <xf numFmtId="0" fontId="19" fillId="0" borderId="0" xfId="873" applyFont="1" applyFill="1" applyAlignment="1">
      <alignment vertical="center" wrapText="1"/>
    </xf>
    <xf numFmtId="203" fontId="19" fillId="0" borderId="0" xfId="873" applyNumberFormat="1" applyFont="1" applyFill="1" applyAlignment="1">
      <alignment horizontal="center" vertical="center" wrapText="1"/>
    </xf>
    <xf numFmtId="203" fontId="16" fillId="0" borderId="0" xfId="873" applyNumberFormat="1" applyFont="1" applyFill="1" applyAlignment="1">
      <alignment horizontal="center" vertical="center" wrapText="1"/>
    </xf>
    <xf numFmtId="203" fontId="34" fillId="0" borderId="0" xfId="873" applyNumberFormat="1" applyFont="1" applyFill="1" applyAlignment="1">
      <alignment horizontal="center" vertical="center" wrapText="1"/>
    </xf>
    <xf numFmtId="0" fontId="34" fillId="0" borderId="0" xfId="873" applyFont="1" applyFill="1" applyAlignment="1">
      <alignment horizontal="center" vertical="center" wrapText="1"/>
    </xf>
    <xf numFmtId="0" fontId="19" fillId="0" borderId="0" xfId="873" applyFont="1" applyFill="1" applyAlignment="1"/>
    <xf numFmtId="0" fontId="17" fillId="0" borderId="0" xfId="873" applyFont="1" applyFill="1" applyBorder="1" applyAlignment="1">
      <alignment horizontal="center" vertical="center" wrapText="1"/>
    </xf>
    <xf numFmtId="203" fontId="17" fillId="0" borderId="0" xfId="873" applyNumberFormat="1" applyFont="1" applyFill="1" applyBorder="1" applyAlignment="1">
      <alignment horizontal="center" vertical="center" wrapText="1"/>
    </xf>
    <xf numFmtId="0" fontId="5" fillId="0" borderId="0" xfId="873" applyFont="1" applyFill="1" applyBorder="1" applyAlignment="1">
      <alignment horizontal="left" vertical="center" wrapText="1"/>
    </xf>
    <xf numFmtId="203" fontId="4" fillId="0" borderId="14" xfId="873" applyNumberFormat="1" applyFont="1" applyFill="1" applyBorder="1" applyAlignment="1">
      <alignment horizontal="right" vertical="center" wrapText="1"/>
    </xf>
    <xf numFmtId="203" fontId="5" fillId="0" borderId="14" xfId="873" applyNumberFormat="1" applyFont="1" applyFill="1" applyBorder="1" applyAlignment="1">
      <alignment horizontal="right" vertical="center" wrapText="1"/>
    </xf>
    <xf numFmtId="0" fontId="8" fillId="0" borderId="2" xfId="873" applyFont="1" applyFill="1" applyBorder="1" applyAlignment="1">
      <alignment horizontal="center" vertical="center" wrapText="1"/>
    </xf>
    <xf numFmtId="0" fontId="18" fillId="0" borderId="2" xfId="873" applyFont="1" applyFill="1" applyBorder="1" applyAlignment="1">
      <alignment horizontal="center" vertical="center" wrapText="1"/>
    </xf>
    <xf numFmtId="203" fontId="7" fillId="0" borderId="2" xfId="873" applyNumberFormat="1" applyFont="1" applyFill="1" applyBorder="1" applyAlignment="1">
      <alignment horizontal="center" vertical="center" wrapText="1"/>
    </xf>
    <xf numFmtId="203" fontId="8" fillId="0" borderId="2" xfId="873" applyNumberFormat="1" applyFont="1" applyFill="1" applyBorder="1" applyAlignment="1">
      <alignment horizontal="center" vertical="center" wrapText="1"/>
    </xf>
    <xf numFmtId="203" fontId="18" fillId="0" borderId="2" xfId="873" applyNumberFormat="1" applyFont="1" applyFill="1" applyBorder="1" applyAlignment="1">
      <alignment horizontal="center" vertical="center" wrapText="1"/>
    </xf>
    <xf numFmtId="0" fontId="7" fillId="0" borderId="2" xfId="873" applyFont="1" applyFill="1" applyBorder="1" applyAlignment="1">
      <alignment horizontal="center" vertical="center" wrapText="1"/>
    </xf>
    <xf numFmtId="0" fontId="5" fillId="0" borderId="2" xfId="873" applyFont="1" applyFill="1" applyBorder="1" applyAlignment="1">
      <alignment horizontal="center" vertical="center" wrapText="1"/>
    </xf>
    <xf numFmtId="0" fontId="18" fillId="0" borderId="2" xfId="873" applyFont="1" applyFill="1" applyBorder="1" applyAlignment="1">
      <alignment vertical="center" wrapText="1"/>
    </xf>
    <xf numFmtId="0" fontId="7" fillId="0" borderId="2" xfId="873" applyFont="1" applyFill="1" applyBorder="1" applyAlignment="1">
      <alignment horizontal="left" vertical="center" wrapText="1"/>
    </xf>
    <xf numFmtId="203" fontId="5" fillId="0" borderId="2" xfId="0" applyNumberFormat="1" applyFont="1" applyFill="1" applyBorder="1" applyAlignment="1">
      <alignment horizontal="right" vertical="center" wrapText="1"/>
    </xf>
    <xf numFmtId="0" fontId="5" fillId="0" borderId="2" xfId="873" applyFont="1" applyFill="1" applyBorder="1" applyAlignment="1">
      <alignment horizontal="right" vertical="center" wrapText="1"/>
    </xf>
    <xf numFmtId="0" fontId="4" fillId="0" borderId="2" xfId="873" applyFont="1" applyFill="1" applyBorder="1" applyAlignment="1">
      <alignment vertical="center" wrapText="1"/>
    </xf>
    <xf numFmtId="49" fontId="4" fillId="0" borderId="2" xfId="873" applyNumberFormat="1" applyFont="1" applyFill="1" applyBorder="1" applyAlignment="1" applyProtection="1">
      <alignment vertical="center" wrapText="1"/>
    </xf>
    <xf numFmtId="0" fontId="4" fillId="0" borderId="2" xfId="873" applyFont="1" applyFill="1" applyBorder="1" applyAlignment="1">
      <alignment horizontal="left" vertical="center" wrapText="1"/>
    </xf>
    <xf numFmtId="0" fontId="35" fillId="0" borderId="0" xfId="873" applyFont="1" applyFill="1" applyBorder="1" applyAlignment="1">
      <alignment horizontal="center" vertical="center" wrapText="1"/>
    </xf>
    <xf numFmtId="31" fontId="7" fillId="0" borderId="14" xfId="873" applyNumberFormat="1" applyFont="1" applyFill="1" applyBorder="1" applyAlignment="1">
      <alignment horizontal="right" vertical="center" wrapText="1"/>
    </xf>
    <xf numFmtId="0" fontId="4" fillId="0" borderId="0" xfId="873" applyFont="1" applyFill="1" applyBorder="1" applyAlignment="1">
      <alignment horizontal="right" vertical="center" wrapText="1"/>
    </xf>
    <xf numFmtId="183" fontId="7" fillId="0" borderId="2" xfId="873" applyNumberFormat="1" applyFont="1" applyFill="1" applyBorder="1" applyAlignment="1">
      <alignment horizontal="right" vertical="center" wrapText="1"/>
    </xf>
    <xf numFmtId="196" fontId="5" fillId="0" borderId="2" xfId="873" applyNumberFormat="1" applyFont="1" applyFill="1" applyBorder="1" applyAlignment="1">
      <alignment vertical="center" wrapText="1"/>
    </xf>
    <xf numFmtId="196" fontId="7" fillId="0" borderId="2" xfId="873" applyNumberFormat="1" applyFont="1" applyFill="1" applyBorder="1" applyAlignment="1">
      <alignment vertical="center" wrapText="1"/>
    </xf>
    <xf numFmtId="203" fontId="5" fillId="0" borderId="2" xfId="0" applyNumberFormat="1" applyFont="1" applyFill="1" applyBorder="1" applyAlignment="1">
      <alignment vertical="center"/>
    </xf>
    <xf numFmtId="183" fontId="5" fillId="0" borderId="2" xfId="873" applyNumberFormat="1" applyFont="1" applyFill="1" applyBorder="1" applyAlignment="1">
      <alignment horizontal="right" vertical="center" wrapText="1"/>
    </xf>
    <xf numFmtId="0" fontId="36" fillId="0" borderId="2" xfId="0" applyFont="1" applyFill="1" applyBorder="1" applyAlignment="1">
      <alignment vertical="center" wrapText="1"/>
    </xf>
    <xf numFmtId="0" fontId="4" fillId="0" borderId="2" xfId="0" applyNumberFormat="1" applyFont="1" applyFill="1" applyBorder="1" applyAlignment="1">
      <alignment vertical="center" wrapText="1"/>
    </xf>
    <xf numFmtId="197" fontId="5" fillId="0" borderId="2" xfId="0" applyNumberFormat="1" applyFont="1" applyFill="1" applyBorder="1" applyAlignment="1">
      <alignment vertical="center"/>
    </xf>
    <xf numFmtId="203" fontId="19" fillId="0" borderId="0" xfId="873" applyNumberFormat="1" applyFont="1" applyFill="1" applyAlignment="1"/>
    <xf numFmtId="0" fontId="37" fillId="0" borderId="0" xfId="873" applyFont="1" applyFill="1" applyAlignment="1"/>
    <xf numFmtId="0" fontId="37" fillId="0" borderId="2" xfId="873" applyFont="1" applyFill="1" applyBorder="1" applyAlignment="1"/>
    <xf numFmtId="204" fontId="19" fillId="0" borderId="0" xfId="873" applyNumberFormat="1" applyFont="1" applyFill="1" applyAlignment="1"/>
    <xf numFmtId="0" fontId="19" fillId="0" borderId="0" xfId="873" applyNumberFormat="1" applyFont="1" applyFill="1" applyAlignment="1"/>
    <xf numFmtId="204" fontId="16" fillId="0" borderId="0" xfId="873" applyNumberFormat="1" applyFont="1" applyFill="1" applyAlignment="1"/>
    <xf numFmtId="0" fontId="19" fillId="0" borderId="2" xfId="873" applyFont="1" applyFill="1" applyBorder="1" applyAlignment="1"/>
    <xf numFmtId="0" fontId="33" fillId="0" borderId="0" xfId="873" applyNumberFormat="1" applyFont="1" applyFill="1" applyAlignment="1"/>
    <xf numFmtId="0" fontId="33" fillId="0" borderId="0" xfId="873" applyFont="1" applyFill="1" applyBorder="1" applyAlignment="1"/>
    <xf numFmtId="203" fontId="21" fillId="2" borderId="0" xfId="0" applyNumberFormat="1" applyFont="1" applyFill="1" applyBorder="1" applyAlignment="1">
      <alignment vertical="center"/>
    </xf>
    <xf numFmtId="203" fontId="21" fillId="0" borderId="0" xfId="0" applyNumberFormat="1" applyFont="1" applyFill="1" applyBorder="1" applyAlignment="1">
      <alignment vertical="center"/>
    </xf>
    <xf numFmtId="49" fontId="18" fillId="0" borderId="2" xfId="873" applyNumberFormat="1" applyFont="1" applyFill="1" applyBorder="1" applyAlignment="1" applyProtection="1">
      <alignment vertical="center" wrapText="1"/>
    </xf>
    <xf numFmtId="0" fontId="7" fillId="0" borderId="2" xfId="873" applyNumberFormat="1" applyFont="1" applyFill="1" applyBorder="1" applyAlignment="1">
      <alignment vertical="center" wrapText="1"/>
    </xf>
    <xf numFmtId="206" fontId="19" fillId="0" borderId="0" xfId="873" applyNumberFormat="1" applyFont="1" applyFill="1" applyBorder="1" applyAlignment="1"/>
    <xf numFmtId="203" fontId="38" fillId="0" borderId="2" xfId="0" applyNumberFormat="1" applyFont="1" applyFill="1" applyBorder="1" applyAlignment="1">
      <alignment vertical="center"/>
    </xf>
    <xf numFmtId="0" fontId="19" fillId="0" borderId="0" xfId="873" applyFont="1" applyFill="1" applyBorder="1" applyAlignment="1">
      <alignment horizontal="center" vertical="center" wrapText="1"/>
    </xf>
    <xf numFmtId="0" fontId="19" fillId="0" borderId="0" xfId="873" applyFont="1" applyFill="1" applyBorder="1" applyAlignment="1">
      <alignment vertical="center" wrapText="1"/>
    </xf>
    <xf numFmtId="203" fontId="19" fillId="0" borderId="0" xfId="873" applyNumberFormat="1" applyFont="1" applyFill="1" applyBorder="1" applyAlignment="1">
      <alignment horizontal="center" vertical="center" wrapText="1"/>
    </xf>
    <xf numFmtId="203" fontId="39" fillId="0" borderId="0" xfId="873" applyNumberFormat="1" applyFont="1" applyFill="1" applyBorder="1" applyAlignment="1">
      <alignment horizontal="center" vertical="center" wrapText="1"/>
    </xf>
    <xf numFmtId="203" fontId="16" fillId="0" borderId="0" xfId="873" applyNumberFormat="1" applyFont="1" applyFill="1" applyBorder="1" applyAlignment="1">
      <alignment horizontal="center" vertical="center" wrapText="1"/>
    </xf>
    <xf numFmtId="0" fontId="7" fillId="0" borderId="2" xfId="873" applyFont="1" applyFill="1" applyBorder="1" applyAlignment="1">
      <alignment vertical="center" wrapText="1"/>
    </xf>
    <xf numFmtId="203" fontId="34" fillId="0" borderId="0" xfId="873" applyNumberFormat="1" applyFont="1" applyFill="1" applyBorder="1" applyAlignment="1">
      <alignment horizontal="center" vertical="center" wrapText="1"/>
    </xf>
    <xf numFmtId="0" fontId="16" fillId="0" borderId="0" xfId="873" applyFont="1" applyFill="1" applyBorder="1" applyAlignment="1">
      <alignment horizontal="center" vertical="center" wrapText="1"/>
    </xf>
    <xf numFmtId="0" fontId="34" fillId="0" borderId="0" xfId="873" applyFont="1" applyFill="1" applyBorder="1" applyAlignment="1">
      <alignment horizontal="center" vertical="center" wrapText="1"/>
    </xf>
    <xf numFmtId="0" fontId="19" fillId="0" borderId="0" xfId="873" applyNumberFormat="1" applyFont="1" applyFill="1" applyBorder="1" applyAlignment="1"/>
    <xf numFmtId="0" fontId="16" fillId="0" borderId="0" xfId="873" applyFont="1" applyFill="1" applyBorder="1" applyAlignment="1"/>
    <xf numFmtId="203" fontId="0" fillId="0" borderId="0" xfId="0" applyNumberFormat="1" applyFill="1" applyAlignment="1">
      <alignment horizontal="center" vertical="center" wrapText="1"/>
    </xf>
    <xf numFmtId="203" fontId="0" fillId="0" borderId="0" xfId="0" applyNumberFormat="1" applyFill="1" applyAlignment="1">
      <alignment horizontal="center" vertical="center"/>
    </xf>
    <xf numFmtId="203" fontId="31" fillId="0" borderId="0" xfId="0" applyNumberFormat="1" applyFont="1" applyFill="1"/>
    <xf numFmtId="203" fontId="0" fillId="0" borderId="0" xfId="0" applyNumberFormat="1" applyFont="1" applyFill="1"/>
    <xf numFmtId="203" fontId="0" fillId="0" borderId="0" xfId="0" applyNumberFormat="1" applyFill="1"/>
    <xf numFmtId="203" fontId="0" fillId="0" borderId="0" xfId="0" applyNumberFormat="1" applyFill="1" applyAlignment="1">
      <alignment horizontal="right"/>
    </xf>
    <xf numFmtId="179" fontId="0" fillId="0" borderId="0" xfId="0" applyNumberFormat="1" applyFill="1"/>
    <xf numFmtId="203" fontId="32" fillId="0" borderId="0" xfId="0" applyNumberFormat="1" applyFont="1" applyFill="1" applyAlignment="1">
      <alignment horizontal="center" vertical="center"/>
    </xf>
    <xf numFmtId="203" fontId="29" fillId="0" borderId="0" xfId="0" applyNumberFormat="1" applyFont="1" applyFill="1"/>
    <xf numFmtId="203" fontId="5" fillId="0" borderId="0" xfId="0" applyNumberFormat="1" applyFont="1" applyFill="1"/>
    <xf numFmtId="203" fontId="5" fillId="0" borderId="0" xfId="0" applyNumberFormat="1" applyFont="1" applyFill="1" applyAlignment="1">
      <alignment horizontal="right"/>
    </xf>
    <xf numFmtId="203" fontId="29" fillId="0" borderId="14" xfId="0" applyNumberFormat="1" applyFont="1" applyFill="1" applyBorder="1" applyAlignment="1">
      <alignment horizontal="right"/>
    </xf>
    <xf numFmtId="203" fontId="8" fillId="0" borderId="1" xfId="0" applyNumberFormat="1" applyFont="1" applyFill="1" applyBorder="1" applyAlignment="1">
      <alignment horizontal="center" vertical="center" wrapText="1"/>
    </xf>
    <xf numFmtId="203" fontId="7" fillId="0" borderId="1" xfId="0" applyNumberFormat="1" applyFont="1" applyFill="1" applyBorder="1" applyAlignment="1">
      <alignment horizontal="center" vertical="center" wrapText="1"/>
    </xf>
    <xf numFmtId="203" fontId="7" fillId="0" borderId="4" xfId="0" applyNumberFormat="1" applyFont="1" applyFill="1" applyBorder="1" applyAlignment="1">
      <alignment horizontal="center" vertical="center" wrapText="1"/>
    </xf>
    <xf numFmtId="203" fontId="7" fillId="0" borderId="5" xfId="0" applyNumberFormat="1" applyFont="1" applyFill="1" applyBorder="1" applyAlignment="1">
      <alignment horizontal="center" vertical="center" wrapText="1"/>
    </xf>
    <xf numFmtId="203" fontId="7" fillId="0" borderId="6" xfId="0" applyNumberFormat="1" applyFont="1" applyFill="1" applyBorder="1" applyAlignment="1">
      <alignment horizontal="center" vertical="center" wrapText="1"/>
    </xf>
    <xf numFmtId="203" fontId="8" fillId="0" borderId="3" xfId="0" applyNumberFormat="1" applyFont="1" applyFill="1" applyBorder="1" applyAlignment="1">
      <alignment horizontal="center" vertical="center" wrapText="1"/>
    </xf>
    <xf numFmtId="203" fontId="7" fillId="0" borderId="3" xfId="0" applyNumberFormat="1" applyFont="1" applyFill="1" applyBorder="1" applyAlignment="1">
      <alignment horizontal="center" vertical="center" wrapText="1"/>
    </xf>
    <xf numFmtId="203" fontId="9" fillId="0" borderId="2" xfId="15" applyNumberFormat="1" applyFont="1" applyFill="1" applyBorder="1" applyAlignment="1">
      <alignment horizontal="center" vertical="center"/>
    </xf>
    <xf numFmtId="203" fontId="8" fillId="0" borderId="2" xfId="874" applyNumberFormat="1" applyFont="1" applyFill="1" applyBorder="1" applyAlignment="1">
      <alignment vertical="center" wrapText="1"/>
    </xf>
    <xf numFmtId="203" fontId="7" fillId="0" borderId="2" xfId="15" applyNumberFormat="1" applyFont="1" applyFill="1" applyBorder="1" applyAlignment="1">
      <alignment horizontal="right" vertical="center"/>
    </xf>
    <xf numFmtId="203" fontId="9" fillId="0" borderId="2" xfId="15"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203" fontId="5" fillId="0" borderId="2" xfId="874" applyNumberFormat="1" applyFont="1" applyFill="1" applyBorder="1" applyAlignment="1">
      <alignment vertical="center" wrapText="1"/>
    </xf>
    <xf numFmtId="203" fontId="5" fillId="0" borderId="2" xfId="15" applyNumberFormat="1" applyFont="1" applyFill="1" applyBorder="1" applyAlignment="1">
      <alignment vertical="center"/>
    </xf>
    <xf numFmtId="183" fontId="5" fillId="0" borderId="2" xfId="0" applyNumberFormat="1" applyFont="1" applyFill="1" applyBorder="1" applyAlignment="1">
      <alignment horizontal="right" vertical="center"/>
    </xf>
    <xf numFmtId="203" fontId="11" fillId="0" borderId="2" xfId="15" applyNumberFormat="1" applyFont="1" applyFill="1" applyBorder="1" applyAlignment="1">
      <alignment horizontal="right" vertical="center"/>
    </xf>
    <xf numFmtId="203" fontId="8" fillId="0" borderId="2" xfId="0" applyNumberFormat="1" applyFont="1" applyFill="1" applyBorder="1" applyAlignment="1">
      <alignment vertical="center" wrapText="1"/>
    </xf>
    <xf numFmtId="205" fontId="5" fillId="0" borderId="2" xfId="15" applyNumberFormat="1" applyFont="1" applyFill="1" applyBorder="1" applyAlignment="1">
      <alignment horizontal="right" vertical="center"/>
    </xf>
    <xf numFmtId="204" fontId="25" fillId="0" borderId="2" xfId="15" applyNumberFormat="1" applyFont="1" applyFill="1" applyBorder="1" applyAlignment="1">
      <alignment vertical="center"/>
    </xf>
    <xf numFmtId="204" fontId="11" fillId="0" borderId="2" xfId="15" applyNumberFormat="1" applyFont="1" applyFill="1" applyBorder="1" applyAlignment="1">
      <alignment horizontal="right" vertical="center"/>
    </xf>
    <xf numFmtId="204" fontId="5" fillId="0" borderId="2" xfId="15" applyNumberFormat="1" applyFont="1" applyFill="1" applyBorder="1" applyAlignment="1">
      <alignment horizontal="right" vertical="center"/>
    </xf>
    <xf numFmtId="203" fontId="5" fillId="0" borderId="2" xfId="15" applyNumberFormat="1" applyFont="1" applyFill="1" applyBorder="1" applyAlignment="1">
      <alignment horizontal="right" vertical="center"/>
    </xf>
    <xf numFmtId="203" fontId="18" fillId="0" borderId="2" xfId="0" applyNumberFormat="1" applyFont="1" applyFill="1" applyBorder="1" applyAlignment="1">
      <alignment horizontal="left" vertical="center" wrapText="1"/>
    </xf>
    <xf numFmtId="204" fontId="7" fillId="0" borderId="2" xfId="15" applyNumberFormat="1" applyFont="1" applyFill="1" applyBorder="1" applyAlignment="1">
      <alignment vertical="center"/>
    </xf>
    <xf numFmtId="204" fontId="40" fillId="0" borderId="2" xfId="15" applyNumberFormat="1" applyFont="1" applyFill="1" applyBorder="1" applyAlignment="1">
      <alignment vertical="center" wrapText="1"/>
    </xf>
    <xf numFmtId="203" fontId="5" fillId="0" borderId="2" xfId="0" applyNumberFormat="1" applyFont="1" applyFill="1" applyBorder="1" applyAlignment="1">
      <alignment horizontal="center" vertical="center" wrapText="1"/>
    </xf>
    <xf numFmtId="203" fontId="29" fillId="0" borderId="2" xfId="0" applyNumberFormat="1" applyFont="1" applyFill="1" applyBorder="1" applyAlignment="1">
      <alignment vertical="center" wrapText="1"/>
    </xf>
    <xf numFmtId="203" fontId="5" fillId="0" borderId="2" xfId="0" applyNumberFormat="1" applyFont="1" applyFill="1" applyBorder="1" applyAlignment="1">
      <alignment horizontal="right" vertical="center"/>
    </xf>
    <xf numFmtId="203" fontId="29" fillId="0" borderId="2" xfId="0" applyNumberFormat="1" applyFont="1" applyFill="1" applyBorder="1" applyAlignment="1">
      <alignment horizontal="center" vertical="center" wrapText="1"/>
    </xf>
    <xf numFmtId="179" fontId="0" fillId="0" borderId="0" xfId="0" applyNumberFormat="1" applyFill="1" applyAlignment="1">
      <alignment horizontal="center" vertical="center" wrapText="1"/>
    </xf>
    <xf numFmtId="179" fontId="0" fillId="0" borderId="0" xfId="0" applyNumberFormat="1" applyFill="1" applyAlignment="1">
      <alignment horizontal="center" vertical="center"/>
    </xf>
    <xf numFmtId="179" fontId="31" fillId="0" borderId="0" xfId="0" applyNumberFormat="1" applyFont="1" applyFill="1"/>
    <xf numFmtId="179" fontId="0" fillId="0" borderId="0" xfId="0" applyNumberFormat="1" applyFont="1" applyFill="1"/>
    <xf numFmtId="203" fontId="7" fillId="0" borderId="2" xfId="0" applyNumberFormat="1" applyFont="1" applyFill="1" applyBorder="1" applyAlignment="1">
      <alignment vertical="center"/>
    </xf>
    <xf numFmtId="203" fontId="4" fillId="0" borderId="2" xfId="0" applyNumberFormat="1" applyFont="1" applyFill="1" applyBorder="1" applyAlignment="1">
      <alignment vertical="center" wrapText="1"/>
    </xf>
    <xf numFmtId="203" fontId="7" fillId="0" borderId="0" xfId="0" applyNumberFormat="1" applyFont="1" applyFill="1" applyAlignment="1">
      <alignment vertical="center"/>
    </xf>
    <xf numFmtId="203" fontId="16" fillId="0" borderId="0" xfId="0" applyNumberFormat="1" applyFont="1" applyFill="1" applyAlignment="1">
      <alignment vertical="center"/>
    </xf>
    <xf numFmtId="0" fontId="0" fillId="0" borderId="0" xfId="0" applyFont="1" applyFill="1"/>
    <xf numFmtId="203" fontId="5" fillId="0" borderId="0" xfId="0" applyNumberFormat="1" applyFont="1" applyFill="1" applyAlignment="1">
      <alignment horizontal="center" vertical="center" wrapText="1"/>
    </xf>
    <xf numFmtId="203" fontId="16" fillId="0" borderId="0" xfId="0" applyNumberFormat="1" applyFont="1" applyFill="1" applyAlignment="1">
      <alignment vertical="center" wrapText="1"/>
    </xf>
    <xf numFmtId="203" fontId="5" fillId="0" borderId="0" xfId="0" applyNumberFormat="1" applyFont="1" applyFill="1" applyAlignment="1">
      <alignment horizontal="right" vertical="center" wrapText="1"/>
    </xf>
    <xf numFmtId="203" fontId="5" fillId="2" borderId="0" xfId="0" applyNumberFormat="1" applyFont="1" applyFill="1" applyAlignment="1">
      <alignment horizontal="left" vertical="center" wrapText="1"/>
    </xf>
    <xf numFmtId="203" fontId="5" fillId="0" borderId="0" xfId="0" applyNumberFormat="1" applyFont="1" applyFill="1" applyAlignment="1">
      <alignment vertical="center"/>
    </xf>
    <xf numFmtId="207" fontId="5" fillId="0" borderId="0" xfId="0" applyNumberFormat="1" applyFont="1" applyFill="1" applyAlignment="1">
      <alignment vertical="center"/>
    </xf>
    <xf numFmtId="203" fontId="32" fillId="0" borderId="0" xfId="0" applyNumberFormat="1" applyFont="1" applyFill="1" applyBorder="1" applyAlignment="1">
      <alignment horizontal="center" vertical="center" wrapText="1"/>
    </xf>
    <xf numFmtId="203" fontId="17" fillId="0" borderId="0" xfId="0" applyNumberFormat="1" applyFont="1" applyFill="1" applyBorder="1" applyAlignment="1">
      <alignment horizontal="center" vertical="center" wrapText="1"/>
    </xf>
    <xf numFmtId="203" fontId="35" fillId="0" borderId="0" xfId="0" applyNumberFormat="1" applyFont="1" applyFill="1" applyBorder="1" applyAlignment="1">
      <alignment horizontal="center" vertical="center" wrapText="1"/>
    </xf>
    <xf numFmtId="203" fontId="17" fillId="2" borderId="0" xfId="0" applyNumberFormat="1" applyFont="1" applyFill="1" applyBorder="1" applyAlignment="1">
      <alignment horizontal="center" vertical="center" wrapText="1"/>
    </xf>
    <xf numFmtId="203" fontId="5" fillId="0" borderId="0" xfId="0" applyNumberFormat="1" applyFont="1" applyFill="1" applyBorder="1" applyAlignment="1">
      <alignment horizontal="left" vertical="center" wrapText="1"/>
    </xf>
    <xf numFmtId="203" fontId="5" fillId="0" borderId="0" xfId="0" applyNumberFormat="1" applyFont="1" applyFill="1" applyBorder="1" applyAlignment="1">
      <alignment horizontal="right" vertical="center" wrapText="1"/>
    </xf>
    <xf numFmtId="203" fontId="29" fillId="0" borderId="0" xfId="0" applyNumberFormat="1" applyFont="1" applyFill="1" applyAlignment="1">
      <alignment horizontal="center" vertical="center" wrapText="1"/>
    </xf>
    <xf numFmtId="203" fontId="29" fillId="2" borderId="0" xfId="0" applyNumberFormat="1" applyFont="1" applyFill="1" applyBorder="1" applyAlignment="1">
      <alignment horizontal="right" vertical="center" wrapText="1"/>
    </xf>
    <xf numFmtId="203" fontId="7" fillId="0" borderId="2" xfId="0" applyNumberFormat="1" applyFont="1" applyFill="1" applyBorder="1" applyAlignment="1">
      <alignment horizontal="center" vertical="center" wrapText="1"/>
    </xf>
    <xf numFmtId="203" fontId="8" fillId="2" borderId="2" xfId="0" applyNumberFormat="1" applyFont="1" applyFill="1" applyBorder="1" applyAlignment="1">
      <alignment horizontal="center" vertical="center"/>
    </xf>
    <xf numFmtId="203" fontId="7" fillId="2" borderId="2" xfId="0" applyNumberFormat="1" applyFont="1" applyFill="1" applyBorder="1" applyAlignment="1">
      <alignment horizontal="center" vertical="center"/>
    </xf>
    <xf numFmtId="203" fontId="18" fillId="0" borderId="2" xfId="0" applyNumberFormat="1" applyFont="1" applyFill="1" applyBorder="1" applyAlignment="1">
      <alignment vertical="center" wrapText="1"/>
    </xf>
    <xf numFmtId="203" fontId="4" fillId="2" borderId="2" xfId="0" applyNumberFormat="1" applyFont="1" applyFill="1" applyBorder="1" applyAlignment="1">
      <alignment horizontal="left" vertical="center" wrapText="1"/>
    </xf>
    <xf numFmtId="208" fontId="5" fillId="0" borderId="0" xfId="0" applyNumberFormat="1" applyFont="1" applyFill="1" applyAlignment="1">
      <alignment vertical="center"/>
    </xf>
    <xf numFmtId="203" fontId="7" fillId="0" borderId="2" xfId="0" applyNumberFormat="1" applyFont="1" applyFill="1" applyBorder="1" applyAlignment="1">
      <alignment horizontal="left" vertical="center" wrapText="1"/>
    </xf>
    <xf numFmtId="203" fontId="7" fillId="2" borderId="2" xfId="0" applyNumberFormat="1" applyFont="1" applyFill="1" applyBorder="1" applyAlignment="1">
      <alignment vertical="center"/>
    </xf>
    <xf numFmtId="197" fontId="5" fillId="0" borderId="2" xfId="0" applyNumberFormat="1" applyFont="1" applyFill="1" applyBorder="1" applyAlignment="1">
      <alignment horizontal="right" vertical="center" wrapText="1"/>
    </xf>
    <xf numFmtId="203" fontId="5" fillId="0" borderId="2" xfId="0" applyNumberFormat="1" applyFont="1" applyFill="1" applyBorder="1" applyAlignment="1" applyProtection="1">
      <alignment horizontal="right" vertical="center"/>
    </xf>
    <xf numFmtId="203" fontId="5" fillId="0" borderId="2" xfId="0" applyNumberFormat="1" applyFont="1" applyFill="1" applyBorder="1" applyAlignment="1">
      <alignment horizontal="left" vertical="center" wrapText="1"/>
    </xf>
    <xf numFmtId="203" fontId="18" fillId="2" borderId="2" xfId="0" applyNumberFormat="1" applyFont="1" applyFill="1" applyBorder="1" applyAlignment="1">
      <alignment horizontal="left" vertical="center" wrapText="1"/>
    </xf>
    <xf numFmtId="203" fontId="4" fillId="0" borderId="2" xfId="0" applyNumberFormat="1" applyFont="1" applyFill="1" applyBorder="1" applyAlignment="1" applyProtection="1">
      <alignment vertical="center" wrapText="1"/>
    </xf>
    <xf numFmtId="203" fontId="4" fillId="0" borderId="2" xfId="0" applyNumberFormat="1" applyFont="1" applyFill="1" applyBorder="1" applyAlignment="1">
      <alignment horizontal="left" vertical="center" wrapText="1"/>
    </xf>
    <xf numFmtId="203" fontId="7" fillId="2" borderId="2" xfId="0" applyNumberFormat="1" applyFont="1" applyFill="1" applyBorder="1" applyAlignment="1">
      <alignment horizontal="left" vertical="center" wrapText="1"/>
    </xf>
    <xf numFmtId="203" fontId="4" fillId="0" borderId="0" xfId="0" applyNumberFormat="1" applyFont="1" applyFill="1" applyAlignment="1">
      <alignment vertical="center"/>
    </xf>
    <xf numFmtId="0" fontId="7" fillId="0" borderId="0" xfId="0" applyNumberFormat="1" applyFont="1" applyFill="1" applyAlignment="1">
      <alignment vertical="center"/>
    </xf>
    <xf numFmtId="207" fontId="7" fillId="0" borderId="0" xfId="0" applyNumberFormat="1" applyFont="1" applyFill="1" applyAlignment="1">
      <alignment vertical="center"/>
    </xf>
    <xf numFmtId="203" fontId="4" fillId="0" borderId="2" xfId="0" applyNumberFormat="1" applyFont="1" applyFill="1" applyBorder="1" applyAlignment="1">
      <alignment vertical="center"/>
    </xf>
    <xf numFmtId="0" fontId="5" fillId="0" borderId="2" xfId="0" applyNumberFormat="1" applyFont="1" applyFill="1" applyBorder="1" applyAlignment="1">
      <alignment horizontal="right" vertical="center" wrapText="1"/>
    </xf>
    <xf numFmtId="203" fontId="4" fillId="0" borderId="2" xfId="873" applyNumberFormat="1" applyFont="1" applyFill="1" applyBorder="1" applyAlignment="1">
      <alignment vertical="center" wrapText="1"/>
    </xf>
    <xf numFmtId="0" fontId="5" fillId="0" borderId="2" xfId="873" applyNumberFormat="1" applyFont="1" applyFill="1" applyBorder="1" applyAlignment="1">
      <alignment horizontal="right" vertical="center" wrapText="1"/>
    </xf>
    <xf numFmtId="203" fontId="4" fillId="0" borderId="2" xfId="873" applyNumberFormat="1" applyFont="1" applyFill="1" applyBorder="1" applyAlignment="1">
      <alignment horizontal="left" vertical="center" wrapText="1"/>
    </xf>
    <xf numFmtId="203" fontId="7" fillId="0" borderId="2" xfId="0" applyNumberFormat="1" applyFont="1" applyFill="1" applyBorder="1" applyAlignment="1">
      <alignment vertical="center" wrapText="1"/>
    </xf>
    <xf numFmtId="208" fontId="5" fillId="2" borderId="2" xfId="0" applyNumberFormat="1" applyFont="1" applyFill="1" applyBorder="1" applyAlignment="1">
      <alignment horizontal="left" vertical="center" wrapText="1"/>
    </xf>
    <xf numFmtId="0" fontId="21" fillId="0" borderId="2" xfId="873" applyFont="1" applyFill="1" applyBorder="1" applyAlignment="1">
      <alignment horizontal="right" vertical="center" wrapText="1"/>
    </xf>
    <xf numFmtId="49" fontId="41" fillId="0" borderId="2" xfId="873" applyNumberFormat="1" applyFont="1" applyFill="1" applyBorder="1" applyAlignment="1" applyProtection="1">
      <alignment vertical="center" wrapText="1"/>
    </xf>
    <xf numFmtId="204" fontId="5" fillId="0" borderId="2" xfId="0" applyNumberFormat="1" applyFont="1" applyFill="1" applyBorder="1" applyAlignment="1">
      <alignment horizontal="right" vertical="center" wrapText="1"/>
    </xf>
    <xf numFmtId="203" fontId="7" fillId="0" borderId="2"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203" fontId="42" fillId="0" borderId="2" xfId="0" applyNumberFormat="1" applyFont="1" applyFill="1" applyBorder="1" applyAlignment="1">
      <alignment vertical="center" wrapText="1"/>
    </xf>
    <xf numFmtId="203" fontId="5" fillId="2" borderId="2" xfId="0" applyNumberFormat="1" applyFont="1" applyFill="1" applyBorder="1" applyAlignment="1">
      <alignment vertical="center"/>
    </xf>
    <xf numFmtId="0" fontId="5" fillId="0" borderId="2" xfId="0" applyFont="1" applyFill="1" applyBorder="1" applyAlignment="1">
      <alignment horizontal="right" vertical="center" wrapText="1"/>
    </xf>
    <xf numFmtId="0" fontId="7" fillId="0" borderId="2" xfId="0" applyFont="1" applyFill="1" applyBorder="1" applyAlignment="1">
      <alignment horizontal="left" vertical="center" wrapText="1"/>
    </xf>
    <xf numFmtId="203" fontId="5" fillId="0" borderId="0" xfId="0" applyNumberFormat="1" applyFont="1" applyFill="1" applyAlignment="1">
      <alignment horizontal="right" vertical="center"/>
    </xf>
    <xf numFmtId="203" fontId="5" fillId="2" borderId="0" xfId="0" applyNumberFormat="1" applyFont="1" applyFill="1" applyAlignment="1">
      <alignment vertical="center"/>
    </xf>
    <xf numFmtId="204" fontId="5" fillId="0" borderId="0" xfId="0" applyNumberFormat="1" applyFont="1" applyFill="1" applyBorder="1" applyAlignment="1">
      <alignment horizontal="right" vertical="center" wrapText="1"/>
    </xf>
    <xf numFmtId="0" fontId="0" fillId="0" borderId="0" xfId="0" applyFont="1" applyFill="1" applyBorder="1"/>
    <xf numFmtId="203" fontId="43" fillId="0" borderId="0" xfId="0" applyNumberFormat="1" applyFont="1" applyFill="1"/>
    <xf numFmtId="203" fontId="27" fillId="0" borderId="0" xfId="0" applyNumberFormat="1" applyFont="1" applyFill="1" applyBorder="1"/>
    <xf numFmtId="203" fontId="27" fillId="0" borderId="0" xfId="0" applyNumberFormat="1" applyFont="1" applyFill="1"/>
    <xf numFmtId="202" fontId="27" fillId="0" borderId="0" xfId="0" applyNumberFormat="1" applyFont="1" applyFill="1"/>
    <xf numFmtId="203" fontId="32" fillId="0" borderId="0" xfId="690" applyNumberFormat="1" applyFont="1" applyFill="1" applyAlignment="1">
      <alignment horizontal="center" vertical="center"/>
    </xf>
    <xf numFmtId="203" fontId="17" fillId="0" borderId="0" xfId="690" applyNumberFormat="1" applyFont="1" applyFill="1" applyAlignment="1">
      <alignment horizontal="center" vertical="center"/>
    </xf>
    <xf numFmtId="202" fontId="17" fillId="0" borderId="0" xfId="690" applyNumberFormat="1" applyFont="1" applyFill="1" applyAlignment="1">
      <alignment horizontal="center" vertical="center"/>
    </xf>
    <xf numFmtId="203" fontId="29" fillId="0" borderId="0" xfId="690" applyNumberFormat="1" applyFont="1" applyFill="1">
      <alignment vertical="center"/>
    </xf>
    <xf numFmtId="203" fontId="5" fillId="0" borderId="0" xfId="690" applyNumberFormat="1" applyFont="1" applyFill="1">
      <alignment vertical="center"/>
    </xf>
    <xf numFmtId="203" fontId="29" fillId="0" borderId="14" xfId="690" applyNumberFormat="1" applyFont="1" applyFill="1" applyBorder="1" applyAlignment="1">
      <alignment horizontal="right" vertical="center"/>
    </xf>
    <xf numFmtId="203" fontId="5" fillId="0" borderId="14" xfId="690" applyNumberFormat="1" applyFont="1" applyFill="1" applyBorder="1" applyAlignment="1">
      <alignment horizontal="right" vertical="center"/>
    </xf>
    <xf numFmtId="203" fontId="8" fillId="0" borderId="2" xfId="690" applyNumberFormat="1" applyFont="1" applyFill="1" applyBorder="1" applyAlignment="1">
      <alignment horizontal="center" vertical="center"/>
    </xf>
    <xf numFmtId="203" fontId="7" fillId="0" borderId="2" xfId="690" applyNumberFormat="1" applyFont="1" applyFill="1" applyBorder="1" applyAlignment="1">
      <alignment horizontal="center" vertical="center" wrapText="1"/>
    </xf>
    <xf numFmtId="203" fontId="7" fillId="0" borderId="2" xfId="690" applyNumberFormat="1" applyFont="1" applyFill="1" applyBorder="1" applyAlignment="1">
      <alignment horizontal="center" vertical="center"/>
    </xf>
    <xf numFmtId="202" fontId="7" fillId="0" borderId="2" xfId="690" applyNumberFormat="1" applyFont="1" applyFill="1" applyBorder="1" applyAlignment="1">
      <alignment horizontal="center" vertical="center"/>
    </xf>
    <xf numFmtId="202" fontId="8" fillId="0" borderId="2" xfId="690" applyNumberFormat="1" applyFont="1" applyFill="1" applyBorder="1" applyAlignment="1">
      <alignment horizontal="center" vertical="center" wrapText="1"/>
    </xf>
    <xf numFmtId="203" fontId="5" fillId="0" borderId="2" xfId="690" applyNumberFormat="1" applyFont="1" applyFill="1" applyBorder="1">
      <alignment vertical="center"/>
    </xf>
    <xf numFmtId="205" fontId="11" fillId="0" borderId="2" xfId="15" applyNumberFormat="1" applyFont="1" applyFill="1" applyBorder="1" applyAlignment="1">
      <alignment horizontal="right" vertical="center"/>
    </xf>
    <xf numFmtId="204" fontId="5" fillId="0" borderId="2" xfId="15" applyNumberFormat="1" applyFont="1" applyFill="1" applyBorder="1"/>
    <xf numFmtId="202" fontId="11" fillId="0" borderId="2" xfId="15" applyNumberFormat="1" applyFont="1" applyFill="1" applyBorder="1" applyAlignment="1">
      <alignment horizontal="right" vertical="center"/>
    </xf>
    <xf numFmtId="202" fontId="5" fillId="0" borderId="2" xfId="690" applyNumberFormat="1" applyFont="1" applyFill="1" applyBorder="1" applyAlignment="1">
      <alignment vertical="center"/>
    </xf>
    <xf numFmtId="183" fontId="5" fillId="0" borderId="2" xfId="690" applyNumberFormat="1" applyFont="1" applyFill="1" applyBorder="1" applyAlignment="1">
      <alignment vertical="center"/>
    </xf>
    <xf numFmtId="203" fontId="5" fillId="0" borderId="2" xfId="690" applyNumberFormat="1" applyFont="1" applyFill="1" applyBorder="1" applyAlignment="1">
      <alignment vertical="center"/>
    </xf>
    <xf numFmtId="0" fontId="5" fillId="0" borderId="2" xfId="874" applyFont="1" applyFill="1" applyBorder="1" applyAlignment="1">
      <alignment vertical="center" wrapText="1"/>
    </xf>
    <xf numFmtId="203" fontId="5" fillId="0" borderId="2" xfId="1113" applyNumberFormat="1" applyFont="1" applyFill="1" applyBorder="1" applyAlignment="1">
      <alignment horizontal="right" vertical="center"/>
    </xf>
    <xf numFmtId="204" fontId="5" fillId="0" borderId="2" xfId="1113" applyNumberFormat="1" applyFont="1" applyFill="1" applyBorder="1" applyAlignment="1">
      <alignment horizontal="right" vertical="center"/>
    </xf>
    <xf numFmtId="203" fontId="4" fillId="0" borderId="2" xfId="874" applyNumberFormat="1" applyFont="1" applyFill="1" applyBorder="1" applyAlignment="1">
      <alignment vertical="center" wrapText="1"/>
    </xf>
    <xf numFmtId="203" fontId="44" fillId="0" borderId="2" xfId="0" applyNumberFormat="1" applyFont="1" applyFill="1" applyBorder="1" applyAlignment="1">
      <alignment horizontal="left" vertical="center" wrapText="1"/>
    </xf>
    <xf numFmtId="0" fontId="11" fillId="0" borderId="2" xfId="871" applyFont="1" applyFill="1" applyBorder="1" applyAlignment="1">
      <alignment horizontal="left" vertical="center"/>
    </xf>
    <xf numFmtId="203" fontId="44" fillId="0" borderId="2" xfId="0" applyNumberFormat="1" applyFont="1" applyFill="1" applyBorder="1" applyAlignment="1">
      <alignment horizontal="left" vertical="center"/>
    </xf>
    <xf numFmtId="203" fontId="18" fillId="0" borderId="2" xfId="874" applyNumberFormat="1" applyFont="1" applyFill="1" applyBorder="1" applyAlignment="1">
      <alignment vertical="center" wrapText="1"/>
    </xf>
    <xf numFmtId="203" fontId="7" fillId="0" borderId="2" xfId="15" applyNumberFormat="1" applyFont="1" applyFill="1" applyBorder="1" applyAlignment="1">
      <alignment vertical="center"/>
    </xf>
    <xf numFmtId="202" fontId="9" fillId="0" borderId="2" xfId="15" applyNumberFormat="1" applyFont="1" applyFill="1" applyBorder="1" applyAlignment="1">
      <alignment horizontal="right" vertical="center"/>
    </xf>
    <xf numFmtId="202" fontId="7" fillId="0" borderId="2" xfId="690" applyNumberFormat="1" applyFont="1" applyFill="1" applyBorder="1" applyAlignment="1">
      <alignment vertical="center"/>
    </xf>
    <xf numFmtId="183" fontId="7" fillId="0" borderId="2" xfId="690" applyNumberFormat="1" applyFont="1" applyFill="1" applyBorder="1" applyAlignment="1">
      <alignment vertical="center"/>
    </xf>
    <xf numFmtId="203" fontId="29" fillId="0" borderId="2" xfId="874" applyNumberFormat="1" applyFont="1" applyFill="1" applyBorder="1" applyAlignment="1">
      <alignment vertical="center" wrapText="1"/>
    </xf>
    <xf numFmtId="203" fontId="21" fillId="0" borderId="2" xfId="874" applyNumberFormat="1" applyFont="1" applyFill="1" applyBorder="1" applyAlignment="1">
      <alignment vertical="center" wrapText="1"/>
    </xf>
    <xf numFmtId="203" fontId="21" fillId="0" borderId="2" xfId="15" applyNumberFormat="1" applyFont="1" applyFill="1" applyBorder="1" applyAlignment="1">
      <alignment vertical="center"/>
    </xf>
    <xf numFmtId="203" fontId="21" fillId="0" borderId="2" xfId="15" applyNumberFormat="1" applyFont="1" applyFill="1" applyBorder="1" applyAlignment="1">
      <alignment horizontal="right" vertical="center"/>
    </xf>
    <xf numFmtId="203" fontId="5" fillId="0" borderId="0" xfId="874" applyNumberFormat="1" applyFont="1" applyFill="1" applyBorder="1" applyAlignment="1">
      <alignment vertical="center" wrapText="1"/>
    </xf>
    <xf numFmtId="203" fontId="5" fillId="0" borderId="0" xfId="15" applyNumberFormat="1" applyFont="1" applyFill="1" applyBorder="1" applyAlignment="1">
      <alignment horizontal="right" vertical="center"/>
    </xf>
    <xf numFmtId="203" fontId="11" fillId="0" borderId="0" xfId="15" applyNumberFormat="1" applyFont="1" applyFill="1" applyBorder="1" applyAlignment="1">
      <alignment horizontal="right" vertical="center"/>
    </xf>
    <xf numFmtId="202" fontId="11" fillId="0" borderId="0" xfId="15" applyNumberFormat="1" applyFont="1" applyFill="1" applyBorder="1" applyAlignment="1">
      <alignment horizontal="right" vertical="center"/>
    </xf>
    <xf numFmtId="202" fontId="5" fillId="0" borderId="0" xfId="690" applyNumberFormat="1" applyFont="1" applyFill="1" applyBorder="1" applyAlignment="1">
      <alignment vertical="center"/>
    </xf>
    <xf numFmtId="183" fontId="5" fillId="0" borderId="0" xfId="690" applyNumberFormat="1" applyFont="1" applyFill="1" applyBorder="1" applyAlignment="1">
      <alignment vertical="center"/>
    </xf>
    <xf numFmtId="203" fontId="4" fillId="0" borderId="0" xfId="0" applyNumberFormat="1" applyFont="1" applyFill="1" applyBorder="1"/>
    <xf numFmtId="203" fontId="4" fillId="0" borderId="0" xfId="0" applyNumberFormat="1" applyFont="1" applyFill="1"/>
    <xf numFmtId="203" fontId="5" fillId="0" borderId="0" xfId="690" applyNumberFormat="1" applyFont="1" applyFill="1" applyBorder="1" applyAlignment="1">
      <alignment vertical="center"/>
    </xf>
    <xf numFmtId="202" fontId="4" fillId="0" borderId="0" xfId="0" applyNumberFormat="1" applyFont="1" applyFill="1"/>
    <xf numFmtId="203" fontId="43" fillId="0" borderId="0" xfId="0" applyNumberFormat="1" applyFont="1" applyFill="1" applyBorder="1"/>
    <xf numFmtId="0" fontId="0" fillId="0" borderId="0" xfId="0" applyFont="1" applyFill="1" applyBorder="1" applyAlignment="1"/>
    <xf numFmtId="0" fontId="45" fillId="0" borderId="0"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vertical="center"/>
    </xf>
    <xf numFmtId="0" fontId="47" fillId="0" borderId="0" xfId="0" applyFont="1" applyFill="1" applyAlignment="1">
      <alignment vertical="center"/>
    </xf>
    <xf numFmtId="0" fontId="48" fillId="0" borderId="0" xfId="0" applyFont="1" applyFill="1" applyBorder="1" applyAlignment="1">
      <alignment horizontal="center" vertical="center"/>
    </xf>
    <xf numFmtId="57" fontId="49" fillId="0" borderId="0" xfId="0" applyNumberFormat="1" applyFont="1" applyFill="1" applyBorder="1" applyAlignment="1">
      <alignment vertical="center"/>
    </xf>
    <xf numFmtId="57" fontId="50" fillId="0" borderId="0" xfId="0" applyNumberFormat="1" applyFont="1" applyFill="1" applyBorder="1" applyAlignment="1">
      <alignment vertical="center"/>
    </xf>
    <xf numFmtId="0" fontId="49" fillId="0" borderId="0" xfId="0" applyFont="1" applyFill="1" applyBorder="1" applyAlignment="1">
      <alignment vertical="center"/>
    </xf>
  </cellXfs>
  <cellStyles count="1130">
    <cellStyle name="常规" xfId="0" builtinId="0"/>
    <cellStyle name="货币[0]" xfId="1" builtinId="7"/>
    <cellStyle name="差_2006年在职人员情况_2014年项目预算讨论稿-1.15" xfId="2"/>
    <cellStyle name="差_奖励补助测算7.23_2015年项目预算讨论稿11.13" xfId="3"/>
    <cellStyle name="货币" xfId="4" builtinId="4"/>
    <cellStyle name="好_05玉溪" xfId="5"/>
    <cellStyle name="20% - 强调文字颜色 3" xfId="6" builtinId="38"/>
    <cellStyle name="输入" xfId="7" builtinId="20"/>
    <cellStyle name="差_2016年鸿源公司预算编制表" xfId="8"/>
    <cellStyle name="好_检验表_2016年项目预算讨论稿2016.1.7" xfId="9"/>
    <cellStyle name="args.style" xfId="10"/>
    <cellStyle name="好_34青海" xfId="11"/>
    <cellStyle name="千位分隔[0]" xfId="12" builtinId="6"/>
    <cellStyle name="Accent2 - 40%" xfId="13"/>
    <cellStyle name="好_34青海_2015年项目预算讨论稿11.13" xfId="14"/>
    <cellStyle name="千位分隔" xfId="15" builtinId="3"/>
    <cellStyle name="40% - 强调文字颜色 3" xfId="16" builtinId="39"/>
    <cellStyle name="差" xfId="17" builtinId="27"/>
    <cellStyle name="超链接" xfId="18" builtinId="8"/>
    <cellStyle name="差_0502通海县_2016年项目预算讨论稿2016.1.7" xfId="19"/>
    <cellStyle name="日期" xfId="20"/>
    <cellStyle name="Accent2 - 60%" xfId="21"/>
    <cellStyle name="差_奖励补助测算5.23新" xfId="22"/>
    <cellStyle name="60% - 强调文字颜色 3" xfId="23" builtinId="40"/>
    <cellStyle name="好_丽江汇总_2015年项目预算讨论稿11.13" xfId="24"/>
    <cellStyle name="百分比" xfId="25" builtinId="5"/>
    <cellStyle name="差_2009年一般性转移支付标准工资_奖励补助测算5.22测试" xfId="26"/>
    <cellStyle name="好_辽宁省2007年1-10月份一般预算收入超收及安排情况统计表_2014年项目预算讨论稿-1.15" xfId="27"/>
    <cellStyle name="已访问的超链接" xfId="28" builtinId="9"/>
    <cellStyle name="注释" xfId="29" builtinId="10"/>
    <cellStyle name="常规 6" xfId="30"/>
    <cellStyle name="_ET_STYLE_NoName_00__Sheet3" xfId="31"/>
    <cellStyle name="60% - 强调文字颜色 2" xfId="32" builtinId="36"/>
    <cellStyle name="差_丽江汇总_2016年项目预算讨论稿2016.1.7" xfId="33"/>
    <cellStyle name="差_2006年分析表" xfId="34"/>
    <cellStyle name="差_教师绩效工资测算表（离退休按各地上报数测算）2009年1月1日" xfId="35"/>
    <cellStyle name="差_2007年政法部门业务指标" xfId="36"/>
    <cellStyle name="标题 4" xfId="37" builtinId="19"/>
    <cellStyle name="警告文本" xfId="38" builtinId="11"/>
    <cellStyle name="好_奖励补助测算5.23新" xfId="39"/>
    <cellStyle name="差_指标五" xfId="40"/>
    <cellStyle name="差_00省级(打印)_2015年项目预算讨论稿11.13" xfId="41"/>
    <cellStyle name="好_10月月报大表_2015年项目预算讨论稿11.13" xfId="42"/>
    <cellStyle name="差_云南省2008年转移支付测算——州市本级考核部分及政策性测算_2014年项目预算讨论稿-1.15" xfId="43"/>
    <cellStyle name="差_奖励补助测算5.22测试" xfId="44"/>
    <cellStyle name="差_2009年一般性转移支付标准工资_奖励补助测算7.25 (version 1) (version 1)_2015年项目预算讨论稿11.13" xfId="45"/>
    <cellStyle name="标题" xfId="46" builtinId="15"/>
    <cellStyle name="解释性文本" xfId="47" builtinId="53"/>
    <cellStyle name="Accent3_2014年项目预算讨论稿-1.15" xfId="48"/>
    <cellStyle name="差_2007年检察院案件数_2014年项目预算讨论稿-1.15" xfId="49"/>
    <cellStyle name="标题 1" xfId="50" builtinId="16"/>
    <cellStyle name="百分比 4" xfId="51"/>
    <cellStyle name="差_2009年一般性转移支付标准工资_~5676413_2016年项目预算讨论稿2016.1.7" xfId="52"/>
    <cellStyle name="标题 2" xfId="53" builtinId="17"/>
    <cellStyle name="百分比 5" xfId="54"/>
    <cellStyle name="0,0_x000d__x000a_NA_x000d__x000a_" xfId="55"/>
    <cellStyle name="差_2009年一般性转移支付标准工资_不用软件计算9.1不考虑经费管理评价xl_2015年项目预算讨论稿11.13" xfId="56"/>
    <cellStyle name="好_汇总-县级财政报表附表_2014年项目预算讨论稿-1.15" xfId="57"/>
    <cellStyle name="好_0605石屏县_2015年项目预算讨论稿11.13" xfId="58"/>
    <cellStyle name="60% - 强调文字颜色 1" xfId="59" builtinId="32"/>
    <cellStyle name="_Book1_1_2014年项目预算讨论稿-1.15" xfId="60"/>
    <cellStyle name="标题 3" xfId="61" builtinId="18"/>
    <cellStyle name="60% - 强调文字颜色 4" xfId="62" builtinId="44"/>
    <cellStyle name="差_历年教师人数_2014年项目预算讨论稿-1.15" xfId="63"/>
    <cellStyle name="输出" xfId="64" builtinId="21"/>
    <cellStyle name="差_2006年基础数据_2016年项目预算讨论稿2016.1.7" xfId="65"/>
    <cellStyle name="好_奖励补助测算5.24冯铸_2015年项目预算讨论稿11.13" xfId="66"/>
    <cellStyle name="好_2006年水利统计指标统计表_2015年项目预算讨论稿11.13" xfId="67"/>
    <cellStyle name="差_2014年项目预算讨论稿-1.15" xfId="68"/>
    <cellStyle name="Input" xfId="69"/>
    <cellStyle name="差_2006年全省财力计算表（中央、决算）_2015年项目预算讨论稿11.13" xfId="70"/>
    <cellStyle name="计算" xfId="71" builtinId="22"/>
    <cellStyle name="好_33甘肃_2016年项目预算讨论稿2016.1.7" xfId="72"/>
    <cellStyle name="40% - 强调文字颜色 4 2" xfId="73"/>
    <cellStyle name="检查单元格" xfId="74" builtinId="23"/>
    <cellStyle name="好_11大理_2015年项目预算讨论稿11.13" xfId="75"/>
    <cellStyle name="差_江西超收收入安排（1-10月份）_2016年项目预算讨论稿2016.1.7" xfId="76"/>
    <cellStyle name="差_第一部分：综合全_2016年项目预算讨论稿2016.1.7" xfId="77"/>
    <cellStyle name="20% - 强调文字颜色 6" xfId="78" builtinId="50"/>
    <cellStyle name="好_2007年超收额预计（3000亿）_2015年项目预算讨论稿11.13" xfId="79"/>
    <cellStyle name="好_三季度－表二" xfId="80"/>
    <cellStyle name="Currency [0]" xfId="81"/>
    <cellStyle name="强调文字颜色 2" xfId="82" builtinId="33"/>
    <cellStyle name="好_地方配套按人均增幅控制8.31（调整结案率后）xl_2015年项目预算讨论稿11.13" xfId="83"/>
    <cellStyle name="差_教育厅提供义务教育及高中教师人数（2009年1月6日）" xfId="84"/>
    <cellStyle name="链接单元格" xfId="85" builtinId="24"/>
    <cellStyle name="差_地方配套按人均增幅控制8.30xl_2015年项目预算讨论稿11.13" xfId="86"/>
    <cellStyle name="差_Book2" xfId="87"/>
    <cellStyle name="汇总" xfId="88" builtinId="25"/>
    <cellStyle name="好_汇总_2016年项目预算讨论稿2016.1.7" xfId="89"/>
    <cellStyle name="好_10月月报大表_2016年项目预算讨论稿2016.1.7" xfId="90"/>
    <cellStyle name="差_2009年一般性转移支付标准工资_奖励补助测算7.25 (version 1) (version 1)_2016年项目预算讨论稿2016.1.7" xfId="91"/>
    <cellStyle name="差_5334_2006年迪庆县级财政报表附表_2015年项目预算讨论稿11.13" xfId="92"/>
    <cellStyle name="好" xfId="93" builtinId="26"/>
    <cellStyle name="Heading 3" xfId="94"/>
    <cellStyle name="差_2006年水利统计指标统计表_2014年项目预算讨论稿-1.15" xfId="95"/>
    <cellStyle name="适中" xfId="96" builtinId="28"/>
    <cellStyle name="_Book1_5" xfId="97"/>
    <cellStyle name="差_5334_2006年迪庆县级财政报表附表_2016年项目预算讨论稿2016.1.7" xfId="98"/>
    <cellStyle name="20% - 强调文字颜色 5" xfId="99" builtinId="46"/>
    <cellStyle name="差_11大理_2015年项目预算讨论稿11.13" xfId="100"/>
    <cellStyle name="强调文字颜色 1" xfId="101" builtinId="29"/>
    <cellStyle name="好_检验表_2015年项目预算讨论稿11.13" xfId="102"/>
    <cellStyle name="好_2009年一般性转移支付标准工资_~5676413_2014年项目预算讨论稿-1.15" xfId="103"/>
    <cellStyle name="Accent5_2014年项目预算讨论稿-1.15" xfId="104"/>
    <cellStyle name="差_10月月报大表_2016年项目预算讨论稿2016.1.7" xfId="105"/>
    <cellStyle name="20% - 强调文字颜色 1" xfId="106" builtinId="30"/>
    <cellStyle name="_ET_STYLE_NoName_00__附件1：基数核对表" xfId="107"/>
    <cellStyle name="差_奖励补助测算7.25 (version 1) (version 1)_2016年项目预算讨论稿2016.1.7" xfId="108"/>
    <cellStyle name="40% - 强调文字颜色 1" xfId="109" builtinId="31"/>
    <cellStyle name="差_2009年一般性转移支付标准工资_~4190974_2015年项目预算讨论稿11.13" xfId="110"/>
    <cellStyle name="20% - 强调文字颜色 2" xfId="111" builtinId="34"/>
    <cellStyle name="好_2009年一般性转移支付标准工资_地方配套按人均增幅控制8.30xl_2015年项目预算讨论稿11.13" xfId="112"/>
    <cellStyle name="好_2、土地面积、人口、粮食产量基本情况_2015年项目预算讨论稿11.13" xfId="113"/>
    <cellStyle name="差_1110洱源县_2014年项目预算讨论稿-1.15" xfId="114"/>
    <cellStyle name="输出 2" xfId="115"/>
    <cellStyle name="好_2009年一般性转移支付标准工资_不用软件计算9.1不考虑经费管理评价xl_2014年项目预算讨论稿-1.15" xfId="116"/>
    <cellStyle name="差_Book1_2_2014年项目预算讨论稿-1.15" xfId="117"/>
    <cellStyle name="40% - 强调文字颜色 2" xfId="118" builtinId="35"/>
    <cellStyle name="差_地方配套按人均增幅控制8.31（调整结案率后）xl_2015年项目预算讨论稿11.13" xfId="119"/>
    <cellStyle name="强调文字颜色 3" xfId="120" builtinId="37"/>
    <cellStyle name="PSChar" xfId="121"/>
    <cellStyle name="强调文字颜色 4" xfId="122" builtinId="41"/>
    <cellStyle name="差_地方配套按人均增幅控制8.30一般预算平均增幅、人均可用财力平均增幅两次控制、社会治安系数调整、案件数调整xl_2015年项目预算讨论稿11.13" xfId="123"/>
    <cellStyle name="20% - 强调文字颜色 4" xfId="124" builtinId="42"/>
    <cellStyle name="40% - 强调文字颜色 4" xfId="125" builtinId="43"/>
    <cellStyle name="强调文字颜色 5" xfId="126" builtinId="45"/>
    <cellStyle name="好_汇总_2015年项目预算讨论稿11.13" xfId="127"/>
    <cellStyle name="40% - 强调文字颜色 5" xfId="128" builtinId="47"/>
    <cellStyle name="差_30云南_2016年项目预算讨论稿2016.1.7" xfId="129"/>
    <cellStyle name="好_地方配套按人均增幅控制8.31（调整结案率后）xl_2014年项目预算讨论稿-1.15" xfId="130"/>
    <cellStyle name="差_地方配套按人均增幅控制8.30xl_2014年项目预算讨论稿-1.15" xfId="131"/>
    <cellStyle name="60% - 强调文字颜色 5" xfId="132" builtinId="48"/>
    <cellStyle name="差_2006年全省财力计算表（中央、决算）" xfId="133"/>
    <cellStyle name="强调文字颜色 6" xfId="134" builtinId="49"/>
    <cellStyle name="40% - 强调文字颜色 6" xfId="135" builtinId="51"/>
    <cellStyle name="_弱电系统设备配置报价清单" xfId="136"/>
    <cellStyle name="差_2009年一般性转移支付标准工资_奖励补助测算5.22测试_2014年项目预算讨论稿-1.15" xfId="137"/>
    <cellStyle name="60% - 强调文字颜色 6" xfId="138" builtinId="52"/>
    <cellStyle name="_ET_STYLE_NoName_00__Book1" xfId="139"/>
    <cellStyle name="_ET_STYLE_NoName_00_" xfId="140"/>
    <cellStyle name="好_汇总-县级财政报表附表" xfId="141"/>
    <cellStyle name="_Book1_1" xfId="142"/>
    <cellStyle name="_2011年广西城乡风貌改造三期工程综合整治项目进度表6.07" xfId="143"/>
    <cellStyle name="好_530623_2006年县级财政报表附表_2016年项目预算讨论稿2016.1.7" xfId="144"/>
    <cellStyle name="_20100326高清市院遂宁检察院1080P配置清单26日改" xfId="145"/>
    <cellStyle name="差_22湖南_2016年项目预算讨论稿2016.1.7" xfId="146"/>
    <cellStyle name="_Book1_1_预留拨付情况8.31刘咪" xfId="147"/>
    <cellStyle name="好_汇总-县级财政报表附表_2015年项目预算讨论稿11.13" xfId="148"/>
    <cellStyle name="好_33甘肃" xfId="149"/>
    <cellStyle name="_Book1_1_2015年项目预算讨论稿11.13" xfId="150"/>
    <cellStyle name="差_Book1_1_2016年项目预算讨论稿2016.1.7" xfId="151"/>
    <cellStyle name="好_高中教师人数（教育厅1.6日提供）_2014年项目预算讨论稿-1.15" xfId="152"/>
    <cellStyle name="好_~5676413_2014年项目预算讨论稿-1.15" xfId="153"/>
    <cellStyle name="差_第一部分：综合全" xfId="154"/>
    <cellStyle name="差_江西超收收入安排（1-10月份）" xfId="155"/>
    <cellStyle name="好_05潍坊_2014年项目预算讨论稿-1.15" xfId="156"/>
    <cellStyle name="?鹎%U龡&amp;H齲_x0001_C铣_x0014__x0007__x0001__x0001_" xfId="157"/>
    <cellStyle name="好_05玉溪_2014年项目预算讨论稿-1.15" xfId="158"/>
    <cellStyle name="_Book1" xfId="159"/>
    <cellStyle name="差_27重庆_2016年项目预算讨论稿2016.1.7" xfId="160"/>
    <cellStyle name="好_三季度－表二_2015年项目预算讨论稿11.13" xfId="161"/>
    <cellStyle name="_Book1_1_2015年部门预算项目明细10.15" xfId="162"/>
    <cellStyle name="差_530629_2006年县级财政报表附表" xfId="163"/>
    <cellStyle name="_Book1_2" xfId="164"/>
    <cellStyle name="Accent2 - 20%" xfId="165"/>
    <cellStyle name="_Book1_3" xfId="166"/>
    <cellStyle name="Heading 1" xfId="167"/>
    <cellStyle name="好_03昭通" xfId="168"/>
    <cellStyle name="_Book1_4" xfId="169"/>
    <cellStyle name="20% - 强调文字颜色 3 2" xfId="170"/>
    <cellStyle name="差_2009年一般性转移支付标准工资_地方配套按人均增幅控制8.30xl_2016年项目预算讨论稿2016.1.7" xfId="171"/>
    <cellStyle name="Heading 2" xfId="172"/>
    <cellStyle name="好_义务教育阶段教职工人数（教育厅提供最终）_2015年项目预算讨论稿11.13" xfId="173"/>
    <cellStyle name="_ET_STYLE_NoName_00__Book1_1" xfId="174"/>
    <cellStyle name="好_Book2_2015年项目预算讨论稿11.13" xfId="175"/>
    <cellStyle name="Accent5 - 20%" xfId="176"/>
    <cellStyle name="_ET_STYLE_NoName_00__Book1_2" xfId="177"/>
    <cellStyle name="好_11大理" xfId="178"/>
    <cellStyle name="差_检验表（调整后）_2016年项目预算讨论稿2016.1.7" xfId="179"/>
    <cellStyle name="差_城建部门_2015年项目预算讨论稿11.13" xfId="180"/>
    <cellStyle name="_ET_STYLE_NoName_00__表一：基数核对表" xfId="181"/>
    <cellStyle name="Input_2014年项目预算讨论稿-1.15" xfId="182"/>
    <cellStyle name="差_县级公安机关公用经费标准奖励测算方案（定稿）_2014年项目预算讨论稿-1.15" xfId="183"/>
    <cellStyle name="Milliers [0]_!!!GO" xfId="184"/>
    <cellStyle name="_汇总表12年2月3日日作登陇穷建设投资统计表" xfId="185"/>
    <cellStyle name="20% - Accent1" xfId="186"/>
    <cellStyle name="Accent1 - 20%" xfId="187"/>
    <cellStyle name="差_2008年县级公安保障标准落实奖励经费分配测算_2016年项目预算讨论稿2016.1.7" xfId="188"/>
    <cellStyle name="好_0605石屏县_2016年项目预算讨论稿2016.1.7" xfId="189"/>
    <cellStyle name="20% - Accent2" xfId="190"/>
    <cellStyle name="20% - Accent3" xfId="191"/>
    <cellStyle name="20% - Accent4" xfId="192"/>
    <cellStyle name="差_03昭通_2016年项目预算讨论稿2016.1.7" xfId="193"/>
    <cellStyle name="20% - Accent5" xfId="194"/>
    <cellStyle name="差_27重庆_2015年项目预算讨论稿11.13" xfId="195"/>
    <cellStyle name="差_05潍坊_2014年项目预算讨论稿-1.15" xfId="196"/>
    <cellStyle name="20% - Accent6" xfId="197"/>
    <cellStyle name="差_2015年项目预算讨论稿11.13" xfId="198"/>
    <cellStyle name="好_530629_2006年县级财政报表附表_2016年项目预算讨论稿2016.1.7" xfId="199"/>
    <cellStyle name="20% - 强调文字颜色 1 2" xfId="200"/>
    <cellStyle name="差_奖励补助测算5.24冯铸" xfId="201"/>
    <cellStyle name="好_2009年一般性转移支付标准工资_~5676413_2015年项目预算讨论稿11.13" xfId="202"/>
    <cellStyle name="20% - 强调文字颜色 2 2" xfId="203"/>
    <cellStyle name="20% - 强调文字颜色 4 2" xfId="204"/>
    <cellStyle name="差_28四川_2016年项目预算讨论稿2016.1.7" xfId="205"/>
    <cellStyle name="Mon閠aire_!!!GO" xfId="206"/>
    <cellStyle name="20% - 强调文字颜色 5 2" xfId="207"/>
    <cellStyle name="콤마_BOILER-CO1" xfId="208"/>
    <cellStyle name="差_2007年超收额预计（3000亿）_2015年项目预算讨论稿11.13" xfId="209"/>
    <cellStyle name="寘嬫愗傝_Region Orders (2)" xfId="210"/>
    <cellStyle name="好_28四川_2014年项目预算讨论稿-1.15" xfId="211"/>
    <cellStyle name="差_2008年县级公安保障标准落实奖励经费分配测算_2015年项目预算讨论稿11.13" xfId="212"/>
    <cellStyle name="20% - 强调文字颜色 6 2" xfId="213"/>
    <cellStyle name="40% - Accent1" xfId="214"/>
    <cellStyle name="40% - Accent2" xfId="215"/>
    <cellStyle name="40% - Accent3" xfId="216"/>
    <cellStyle name="好_第一部分：综合全_2016年项目预算讨论稿2016.1.7" xfId="217"/>
    <cellStyle name="40% - Accent4" xfId="218"/>
    <cellStyle name="Normal - Style1" xfId="219"/>
    <cellStyle name="40% - Accent5" xfId="220"/>
    <cellStyle name="警告文本 2" xfId="221"/>
    <cellStyle name="好_第五部分(才淼、饶永宏）_2016年项目预算讨论稿2016.1.7" xfId="222"/>
    <cellStyle name="40% - Accent6" xfId="223"/>
    <cellStyle name="好_00省级(定稿)_2016年项目预算讨论稿2016.1.7" xfId="224"/>
    <cellStyle name="差_2009年一般性转移支付标准工资_奖励补助测算7.23_2014年项目预算讨论稿-1.15" xfId="225"/>
    <cellStyle name="好_第五部分(才淼、饶永宏）" xfId="226"/>
    <cellStyle name="差_补充表_2014年项目预算讨论稿-1.15" xfId="227"/>
    <cellStyle name="好_00省级(定稿)" xfId="228"/>
    <cellStyle name="好_基础数据分析_2016年项目预算讨论稿2016.1.7" xfId="229"/>
    <cellStyle name="40% - 强调文字颜色 1 2" xfId="230"/>
    <cellStyle name="差_指标四" xfId="231"/>
    <cellStyle name="差_检验表（调整后）_2014年项目预算讨论稿-1.15" xfId="232"/>
    <cellStyle name="40% - 强调文字颜色 2 2" xfId="233"/>
    <cellStyle name="差_奖励补助测算5.23新_2016年项目预算讨论稿2016.1.7" xfId="234"/>
    <cellStyle name="40% - 强调文字颜色 3 2" xfId="235"/>
    <cellStyle name="好_2006年分析表" xfId="236"/>
    <cellStyle name="差_奖励补助测算7.23_2016年项目预算讨论稿2016.1.7" xfId="237"/>
    <cellStyle name="40% - 强调文字颜色 5 2" xfId="238"/>
    <cellStyle name="好_奖励补助测算5.23新_2016年项目预算讨论稿2016.1.7" xfId="239"/>
    <cellStyle name="差_指标五_2016年项目预算讨论稿2016.1.7" xfId="240"/>
    <cellStyle name="40% - 强调文字颜色 6 2" xfId="241"/>
    <cellStyle name="好_下半年禁毒办案经费分配2544.3万元" xfId="242"/>
    <cellStyle name="好_不用软件计算9.1不考虑经费管理评价xl_2015年项目预算讨论稿11.13" xfId="243"/>
    <cellStyle name="差_03昭通" xfId="244"/>
    <cellStyle name="60% - Accent1" xfId="245"/>
    <cellStyle name="好_补充表_2015年项目预算讨论稿11.13" xfId="246"/>
    <cellStyle name="60% - Accent2" xfId="247"/>
    <cellStyle name="好_05潍坊_2016年项目预算讨论稿2016.1.7" xfId="248"/>
    <cellStyle name="常规 2 2" xfId="249"/>
    <cellStyle name="差_同德" xfId="250"/>
    <cellStyle name="部门" xfId="251"/>
    <cellStyle name="60% - Accent3" xfId="252"/>
    <cellStyle name="常规 2 4" xfId="253"/>
    <cellStyle name="PSInt" xfId="254"/>
    <cellStyle name="60% - Accent4" xfId="255"/>
    <cellStyle name="per.style" xfId="256"/>
    <cellStyle name="差_2009年一般性转移支付标准工资_地方配套按人均增幅控制8.31（调整结案率后）xl_2014年项目预算讨论稿-1.15" xfId="257"/>
    <cellStyle name="好_第一部分：综合全_2014年项目预算讨论稿-1.15" xfId="258"/>
    <cellStyle name="好_11大理_2016年项目预算讨论稿2016.1.7" xfId="259"/>
    <cellStyle name="60% - Accent5" xfId="260"/>
    <cellStyle name="强调文字颜色 4 2" xfId="261"/>
    <cellStyle name="好_检验表" xfId="262"/>
    <cellStyle name="60% - Accent6" xfId="263"/>
    <cellStyle name="t" xfId="264"/>
    <cellStyle name="60% - 强调文字颜色 1 2" xfId="265"/>
    <cellStyle name="好_03昭通_2015年项目预算讨论稿11.13" xfId="266"/>
    <cellStyle name="Heading 4" xfId="267"/>
    <cellStyle name="商品名称" xfId="268"/>
    <cellStyle name="好_教师绩效工资测算表（离退休按各地上报数测算）2009年1月1日_2014年项目预算讨论稿-1.15" xfId="269"/>
    <cellStyle name="60% - 强调文字颜色 2 2" xfId="270"/>
    <cellStyle name="差_~5676413_2015年项目预算讨论稿11.13" xfId="271"/>
    <cellStyle name="常规 5" xfId="272"/>
    <cellStyle name="差_~4190974_2016年项目预算讨论稿2016.1.7" xfId="273"/>
    <cellStyle name="60% - 强调文字颜色 3 2" xfId="274"/>
    <cellStyle name="差_00省级(定稿)_2014年项目预算讨论稿-1.15" xfId="275"/>
    <cellStyle name="60% - 强调文字颜色 4 2" xfId="276"/>
    <cellStyle name="Neutral" xfId="277"/>
    <cellStyle name="60% - 强调文字颜色 5 2" xfId="278"/>
    <cellStyle name="好_2007年人员分部门统计表" xfId="279"/>
    <cellStyle name="60% - 强调文字颜色 6 2" xfId="280"/>
    <cellStyle name="6mal" xfId="281"/>
    <cellStyle name="Accent1" xfId="282"/>
    <cellStyle name="差_三季度－表二_2014年项目预算讨论稿-1.15" xfId="283"/>
    <cellStyle name="差_~4190974_2015年项目预算讨论稿11.13" xfId="284"/>
    <cellStyle name="Accent1 - 40%" xfId="285"/>
    <cellStyle name="差_2006年基础数据" xfId="286"/>
    <cellStyle name="Accent1 - 60%" xfId="287"/>
    <cellStyle name="差_同德_2015年项目预算讨论稿11.13" xfId="288"/>
    <cellStyle name="Accent1_2014年项目预算讨论稿-1.15" xfId="289"/>
    <cellStyle name="Accent2" xfId="290"/>
    <cellStyle name="Accent2_2014年项目预算讨论稿-1.15" xfId="291"/>
    <cellStyle name="差_检验表（调整后）" xfId="292"/>
    <cellStyle name="Accent3" xfId="293"/>
    <cellStyle name="差_2007年检察院案件数" xfId="294"/>
    <cellStyle name="好_同德_2015年项目预算讨论稿11.13" xfId="295"/>
    <cellStyle name="Accent3 - 20%" xfId="296"/>
    <cellStyle name="Milliers_!!!GO" xfId="297"/>
    <cellStyle name="Accent3 - 40%" xfId="298"/>
    <cellStyle name="好_检验表_2014年项目预算讨论稿-1.15" xfId="299"/>
    <cellStyle name="差_2009年一般性转移支付标准工资_不用软件计算9.1不考虑经费管理评价xl_2016年项目预算讨论稿2016.1.7" xfId="300"/>
    <cellStyle name="好_0502通海县" xfId="301"/>
    <cellStyle name="Mon閠aire [0]_!!!GO" xfId="302"/>
    <cellStyle name="好_2009年一般性转移支付标准工资_~4190974" xfId="303"/>
    <cellStyle name="Accent3 - 60%" xfId="304"/>
    <cellStyle name="差_云南省2008年中小学教职工情况（教育厅提供20090101加工整理）_2014年项目预算讨论稿-1.15" xfId="305"/>
    <cellStyle name="好_指标五_2014年项目预算讨论稿-1.15" xfId="306"/>
    <cellStyle name="Accent4" xfId="307"/>
    <cellStyle name="Accent4 - 20%" xfId="308"/>
    <cellStyle name="好_奖励补助测算5.22测试_2016年项目预算讨论稿2016.1.7" xfId="309"/>
    <cellStyle name="差_汇总-县级财政报表附表_2015年项目预算讨论稿11.13" xfId="310"/>
    <cellStyle name="差_不用软件计算9.1不考虑经费管理评价xl_2016年项目预算讨论稿2016.1.7" xfId="311"/>
    <cellStyle name="Accent4 - 40%" xfId="312"/>
    <cellStyle name="Accent4 - 60%" xfId="313"/>
    <cellStyle name="捠壿 [0.00]_Region Orders (2)" xfId="314"/>
    <cellStyle name="差_云南农村义务教育统计表_2015年项目预算讨论稿11.13" xfId="315"/>
    <cellStyle name="Accent4_2014年项目预算讨论稿-1.15" xfId="316"/>
    <cellStyle name="好_2009年一般性转移支付标准工资_~5676413" xfId="317"/>
    <cellStyle name="Accent5" xfId="318"/>
    <cellStyle name="Accent5 - 40%" xfId="319"/>
    <cellStyle name="千分位[0]_ 白土" xfId="320"/>
    <cellStyle name="好_M03_2014年项目预算讨论稿-1.15" xfId="321"/>
    <cellStyle name="Accent5 - 60%" xfId="322"/>
    <cellStyle name="Accent6" xfId="323"/>
    <cellStyle name="好_M03" xfId="324"/>
    <cellStyle name="Accent6 - 20%" xfId="325"/>
    <cellStyle name="好_00省级(打印)_2015年项目预算讨论稿11.13" xfId="326"/>
    <cellStyle name="Accent6 - 40%" xfId="327"/>
    <cellStyle name="差_07临沂" xfId="328"/>
    <cellStyle name="好_地方配套按人均增幅控制8.30xl_2016年项目预算讨论稿2016.1.7" xfId="329"/>
    <cellStyle name="Accent6 - 60%" xfId="330"/>
    <cellStyle name="Accent6_2014年项目预算讨论稿-1.15" xfId="331"/>
    <cellStyle name="差_基础数据分析_2016年项目预算讨论稿2016.1.7" xfId="332"/>
    <cellStyle name="好_Book1_2_2015年项目预算讨论稿11.13" xfId="333"/>
    <cellStyle name="Bad" xfId="334"/>
    <cellStyle name="Calc Currency (0)" xfId="335"/>
    <cellStyle name="Calculation" xfId="336"/>
    <cellStyle name="好_Book1_1_2014年项目预算讨论稿-1.15" xfId="337"/>
    <cellStyle name="PSHeading" xfId="338"/>
    <cellStyle name="差_530623_2006年县级财政报表附表" xfId="339"/>
    <cellStyle name="好_检验表（调整后）_2016年项目预算讨论稿2016.1.7" xfId="340"/>
    <cellStyle name="Check Cell" xfId="341"/>
    <cellStyle name="好_2006年分析表_2014年项目预算讨论稿-1.15" xfId="342"/>
    <cellStyle name="ColLevel_0" xfId="343"/>
    <cellStyle name="Comma [0]" xfId="344"/>
    <cellStyle name="comma zerodec" xfId="345"/>
    <cellStyle name="통화_BOILER-CO1" xfId="346"/>
    <cellStyle name="好_2016年项目预算讨论稿2016.1.7" xfId="347"/>
    <cellStyle name="Comma_!!!GO" xfId="348"/>
    <cellStyle name="好_2009年一般性转移支付标准工资_奖励补助测算7.23_2014年项目预算讨论稿-1.15" xfId="349"/>
    <cellStyle name="好_江西超收收入安排（1-10月份）新_2014年项目预算讨论稿-1.15" xfId="350"/>
    <cellStyle name="分级显示列_1_Book1" xfId="351"/>
    <cellStyle name="Currency_!!!GO" xfId="352"/>
    <cellStyle name="Currency1" xfId="353"/>
    <cellStyle name="差_33甘肃_2015年项目预算讨论稿11.13" xfId="354"/>
    <cellStyle name="Date" xfId="355"/>
    <cellStyle name="差_2007年超收额预计（3000亿）_2016年项目预算讨论稿2016.1.7" xfId="356"/>
    <cellStyle name="差_义务教育阶段教职工人数（教育厅提供最终）_2015年项目预算讨论稿11.13" xfId="357"/>
    <cellStyle name="Dollar (zero dec)" xfId="358"/>
    <cellStyle name="好_30云南" xfId="359"/>
    <cellStyle name="差_2009年一般性转移支付标准工资_奖励补助测算5.24冯铸_2015年项目预算讨论稿11.13" xfId="360"/>
    <cellStyle name="差_云南省2008年中小学教师人数统计表_2015年项目预算讨论稿11.13" xfId="361"/>
    <cellStyle name="好_检验表（调整后）_2015年项目预算讨论稿11.13" xfId="362"/>
    <cellStyle name="强调文字颜色 1 2" xfId="363"/>
    <cellStyle name="Explanatory Text" xfId="364"/>
    <cellStyle name="差_1110洱源县" xfId="365"/>
    <cellStyle name="差_检验表_2014年项目预算讨论稿-1.15" xfId="366"/>
    <cellStyle name="好_2009年一般性转移支付标准工资_2014年项目预算讨论稿-1.15" xfId="367"/>
    <cellStyle name="e鯪9Y_x000b_" xfId="368"/>
    <cellStyle name="差_平邑_2014年项目预算讨论稿-1.15" xfId="369"/>
    <cellStyle name="Fixed" xfId="370"/>
    <cellStyle name="gcd" xfId="371"/>
    <cellStyle name="好_2009年一般性转移支付标准工资_不用软件计算9.1不考虑经费管理评价xl" xfId="372"/>
    <cellStyle name="差_Book1_2" xfId="373"/>
    <cellStyle name="差_2009年一般性转移支付标准工资_2014年项目预算讨论稿-1.15" xfId="374"/>
    <cellStyle name="常规 10" xfId="375"/>
    <cellStyle name="Good" xfId="376"/>
    <cellStyle name="Grey" xfId="377"/>
    <cellStyle name="标题 2 2" xfId="378"/>
    <cellStyle name="好_辽宁省2007年1-10月份一般预算收入超收及安排情况统计表_2015年项目预算讨论稿11.13" xfId="379"/>
    <cellStyle name="Header1" xfId="380"/>
    <cellStyle name="差_03昭通_2014年项目预算讨论稿-1.15" xfId="381"/>
    <cellStyle name="Header2" xfId="382"/>
    <cellStyle name="差_高中教师人数（教育厅1.6日提供）_2016年项目预算讨论稿2016.1.7" xfId="383"/>
    <cellStyle name="HEADING1" xfId="384"/>
    <cellStyle name="差_M01-2(州市补助收入)_2015年项目预算讨论稿11.13" xfId="385"/>
    <cellStyle name="差_云南省2008年中小学教职工情况（教育厅提供20090101加工整理）_2016年项目预算讨论稿2016.1.7" xfId="386"/>
    <cellStyle name="HEADING2" xfId="387"/>
    <cellStyle name="好_指标五_2016年项目预算讨论稿2016.1.7" xfId="388"/>
    <cellStyle name="差_地方配套按人均增幅控制8.31（调整结案率后）xl" xfId="389"/>
    <cellStyle name="Input [yellow]" xfId="390"/>
    <cellStyle name="好_34青海_2016年项目预算讨论稿2016.1.7" xfId="391"/>
    <cellStyle name="差_10月月报大表_2015年项目预算讨论稿11.13" xfId="392"/>
    <cellStyle name="Input Cells" xfId="393"/>
    <cellStyle name="好_历年教师人数_2015年项目预算讨论稿11.13" xfId="394"/>
    <cellStyle name="好_城建部门_2014年项目预算讨论稿-1.15" xfId="395"/>
    <cellStyle name="差_第五部分(才淼、饶永宏）_2016年项目预算讨论稿2016.1.7" xfId="396"/>
    <cellStyle name="好_江西超收收入安排（1-10月份）_2014年项目预算讨论稿-1.15" xfId="397"/>
    <cellStyle name="归盒啦_95" xfId="398"/>
    <cellStyle name="Linked Cell" xfId="399"/>
    <cellStyle name="Linked Cells" xfId="400"/>
    <cellStyle name="差_下半年禁毒办案经费分配2544.3万元_2016年项目预算讨论稿2016.1.7" xfId="401"/>
    <cellStyle name="Millares [0]_96 Risk" xfId="402"/>
    <cellStyle name="好_2009年一般性转移支付标准工资_地方配套按人均增幅控制8.31（调整结案率后）xl_2015年项目预算讨论稿11.13" xfId="403"/>
    <cellStyle name="Millares_96 Risk" xfId="404"/>
    <cellStyle name="差_奖励补助测算7.25" xfId="405"/>
    <cellStyle name="好_奖励补助测算7.23_2015年项目预算讨论稿11.13" xfId="406"/>
    <cellStyle name="差_县级基础数据" xfId="407"/>
    <cellStyle name="Moneda [0]_96 Risk" xfId="408"/>
    <cellStyle name="差_2009年一般性转移支付标准工资_奖励补助测算7.23" xfId="409"/>
    <cellStyle name="Moneda_96 Risk" xfId="410"/>
    <cellStyle name="差_补充表" xfId="411"/>
    <cellStyle name="New Times Roman" xfId="412"/>
    <cellStyle name="no dec" xfId="413"/>
    <cellStyle name="差_27重庆" xfId="414"/>
    <cellStyle name="Norma,_laroux_4_营业在建 (2)_E21" xfId="415"/>
    <cellStyle name="好_历年教师人数" xfId="416"/>
    <cellStyle name="Normal_!!!GO" xfId="417"/>
    <cellStyle name="差_2、土地面积、人口、粮食产量基本情况_2014年项目预算讨论稿-1.15" xfId="418"/>
    <cellStyle name="差_自治区本级政府性基金情况表_2016年项目预算讨论稿2016.1.7" xfId="419"/>
    <cellStyle name="Note" xfId="420"/>
    <cellStyle name="Output" xfId="421"/>
    <cellStyle name="Percent [2]" xfId="422"/>
    <cellStyle name="Percent_!!!GO" xfId="423"/>
    <cellStyle name="好_第一部分：综合全" xfId="424"/>
    <cellStyle name="标题 5" xfId="425"/>
    <cellStyle name="好_2008年县级公安保障标准落实奖励经费分配测算_2015年项目预算讨论稿11.13" xfId="426"/>
    <cellStyle name="Pourcentage_pldt" xfId="427"/>
    <cellStyle name="差_2009年一般性转移支付标准工资_奖励补助测算5.22测试_2016年项目预算讨论稿2016.1.7" xfId="428"/>
    <cellStyle name="差_辽宁省2007年1-10月份一般预算收入超收及安排情况统计表" xfId="429"/>
    <cellStyle name="PSDate" xfId="430"/>
    <cellStyle name="PSDec" xfId="431"/>
    <cellStyle name="好_自治区本级政府性基金情况表_2015年项目预算讨论稿11.13" xfId="432"/>
    <cellStyle name="差_00省级(打印)" xfId="433"/>
    <cellStyle name="好_2009年一般性转移支付标准工资_地方配套按人均增幅控制8.31（调整结案率后）xl_2014年项目预算讨论稿-1.15" xfId="434"/>
    <cellStyle name="PSSpacer" xfId="435"/>
    <cellStyle name="差_530629_2006年县级财政报表附表_2016年项目预算讨论稿2016.1.7" xfId="436"/>
    <cellStyle name="RowLevel_0" xfId="437"/>
    <cellStyle name="差_2008年县级公安保障标准落实奖励经费分配测算" xfId="438"/>
    <cellStyle name="好_指标四_2015年项目预算讨论稿11.13" xfId="439"/>
    <cellStyle name="sstot" xfId="440"/>
    <cellStyle name="Standard_AREAS" xfId="441"/>
    <cellStyle name="差_丽江汇总_2015年项目预算讨论稿11.13" xfId="442"/>
    <cellStyle name="t_HVAC Equipment (3)" xfId="443"/>
    <cellStyle name="差_下半年禁毒办案经费分配2544.3万元_2015年项目预算讨论稿11.13" xfId="444"/>
    <cellStyle name="Title" xfId="445"/>
    <cellStyle name="好_2009年一般性转移支付标准工资_2015年项目预算讨论稿11.13" xfId="446"/>
    <cellStyle name="Total" xfId="447"/>
    <cellStyle name="好_地方配套按人均增幅控制8.30xl_2014年项目预算讨论稿-1.15" xfId="448"/>
    <cellStyle name="Warning Text" xfId="449"/>
    <cellStyle name="百分比 2" xfId="450"/>
    <cellStyle name="差_33甘肃_2016年项目预算讨论稿2016.1.7" xfId="451"/>
    <cellStyle name="百分比 3" xfId="452"/>
    <cellStyle name="好_辽宁省2007年1-10月份一般预算收入超收及安排情况统计表" xfId="453"/>
    <cellStyle name="好_2008云南省分县市中小学教职工统计表（教育厅提供）_2015年项目预算讨论稿11.13" xfId="454"/>
    <cellStyle name="捠壿_Region Orders (2)" xfId="455"/>
    <cellStyle name="编号" xfId="456"/>
    <cellStyle name="差_高中教师人数（教育厅1.6日提供）_2015年项目预算讨论稿11.13" xfId="457"/>
    <cellStyle name="통화 [0]_BOILER-CO1" xfId="458"/>
    <cellStyle name="标题 1 2" xfId="459"/>
    <cellStyle name="好_Book2_2014年项目预算讨论稿-1.15" xfId="460"/>
    <cellStyle name="标题 3 2" xfId="461"/>
    <cellStyle name="好_奖励补助测算5.22测试_2015年项目预算讨论稿11.13" xfId="462"/>
    <cellStyle name="差_城建部门_2014年项目预算讨论稿-1.15" xfId="463"/>
    <cellStyle name="差_30云南" xfId="464"/>
    <cellStyle name="差_不用软件计算9.1不考虑经费管理评价xl_2015年项目预算讨论稿11.13" xfId="465"/>
    <cellStyle name="好_Book1_2" xfId="466"/>
    <cellStyle name="标题 4 2" xfId="467"/>
    <cellStyle name="千位分隔 3" xfId="468"/>
    <cellStyle name="好_00省级(打印)" xfId="469"/>
    <cellStyle name="标题1" xfId="470"/>
    <cellStyle name="好_28四川_2015年项目预算讨论稿11.13" xfId="471"/>
    <cellStyle name="差_27重庆_2014年项目预算讨论稿-1.15" xfId="472"/>
    <cellStyle name="表标题" xfId="473"/>
    <cellStyle name="好_2014年项目预算讨论稿-1.15" xfId="474"/>
    <cellStyle name="差 2" xfId="475"/>
    <cellStyle name="差_~4190974" xfId="476"/>
    <cellStyle name="差_~4190974_2014年项目预算讨论稿-1.15" xfId="477"/>
    <cellStyle name="差_~5676413" xfId="478"/>
    <cellStyle name="差_~5676413_2014年项目预算讨论稿-1.15" xfId="479"/>
    <cellStyle name="差_2006年全省财力计算表（中央、决算）_2016年项目预算讨论稿2016.1.7" xfId="480"/>
    <cellStyle name="差_~5676413_2016年项目预算讨论稿2016.1.7" xfId="481"/>
    <cellStyle name="小数" xfId="482"/>
    <cellStyle name="差_00省级(打印)_2014年项目预算讨论稿-1.15" xfId="483"/>
    <cellStyle name="差_00省级(打印)_2016年项目预算讨论稿2016.1.7" xfId="484"/>
    <cellStyle name="差_2009年一般性转移支付标准工资_奖励补助测算7.23_2015年项目预算讨论稿11.13" xfId="485"/>
    <cellStyle name="差_05玉溪" xfId="486"/>
    <cellStyle name="差_补充表_2015年项目预算讨论稿11.13" xfId="487"/>
    <cellStyle name="差_00省级(定稿)" xfId="488"/>
    <cellStyle name="好_2008年县级公安保障标准落实奖励经费分配测算_2014年项目预算讨论稿-1.15" xfId="489"/>
    <cellStyle name="差_00省级(定稿)_2015年项目预算讨论稿11.13" xfId="490"/>
    <cellStyle name="差_城建部门_2016年项目预算讨论稿2016.1.7" xfId="491"/>
    <cellStyle name="差_00省级(定稿)_2016年项目预算讨论稿2016.1.7" xfId="492"/>
    <cellStyle name="好_2009年一般性转移支付标准工资_奖励补助测算7.25 (version 1) (version 1)_2014年项目预算讨论稿-1.15" xfId="493"/>
    <cellStyle name="差_530629_2006年县级财政报表附表_2015年项目预算讨论稿11.13" xfId="494"/>
    <cellStyle name="差_03昭通_2015年项目预算讨论稿11.13" xfId="495"/>
    <cellStyle name="差_0605石屏县" xfId="496"/>
    <cellStyle name="好_下半年禁毒办案经费分配2544.3万元_2015年项目预算讨论稿11.13" xfId="497"/>
    <cellStyle name="差_0502通海县" xfId="498"/>
    <cellStyle name="差_江西超收收入安排（1-10月份）新_2015年项目预算讨论稿11.13" xfId="499"/>
    <cellStyle name="差_0502通海县_2014年项目预算讨论稿-1.15" xfId="500"/>
    <cellStyle name="差_2006年分析表_2016年项目预算讨论稿2016.1.7" xfId="501"/>
    <cellStyle name="差_2009年一般性转移支付标准工资_不用软件计算9.1不考虑经费管理评价xl" xfId="502"/>
    <cellStyle name="超级链接" xfId="503"/>
    <cellStyle name="差_教师绩效工资测算表（离退休按各地上报数测算）2009年1月1日_2016年项目预算讨论稿2016.1.7" xfId="504"/>
    <cellStyle name="差_2007年政法部门业务指标_2016年项目预算讨论稿2016.1.7" xfId="505"/>
    <cellStyle name="差_2009年一般性转移支付标准工资_奖励补助测算7.25_2015年项目预算讨论稿11.13" xfId="506"/>
    <cellStyle name="差_0502通海县_2015年项目预算讨论稿11.13" xfId="507"/>
    <cellStyle name="好_云南农村义务教育统计表_2016年项目预算讨论稿2016.1.7" xfId="508"/>
    <cellStyle name="好_历年教师人数_2016年项目预算讨论稿2016.1.7" xfId="509"/>
    <cellStyle name="差_05潍坊" xfId="510"/>
    <cellStyle name="数字" xfId="511"/>
    <cellStyle name="差_05潍坊_2015年项目预算讨论稿11.13" xfId="512"/>
    <cellStyle name="差_2009年一般性转移支付标准工资_奖励补助测算5.23新" xfId="513"/>
    <cellStyle name="差_05潍坊_2016年项目预算讨论稿2016.1.7" xfId="514"/>
    <cellStyle name="差_2014年项目预算讨论稿-1.18" xfId="515"/>
    <cellStyle name="差_05玉溪_2014年项目预算讨论稿-1.15" xfId="516"/>
    <cellStyle name="好_2006年基础数据_2016年项目预算讨论稿2016.1.7" xfId="517"/>
    <cellStyle name="差_补充表_2016年项目预算讨论稿2016.1.7" xfId="518"/>
    <cellStyle name="好_00省级(打印)_2014年项目预算讨论稿-1.15" xfId="519"/>
    <cellStyle name="差_2009年一般性转移支付标准工资_奖励补助测算7.23_2016年项目预算讨论稿2016.1.7" xfId="520"/>
    <cellStyle name="差_05玉溪_2015年项目预算讨论稿11.13" xfId="521"/>
    <cellStyle name="差_07临沂_2014年项目预算讨论稿-1.15" xfId="522"/>
    <cellStyle name="差_05玉溪_2016年项目预算讨论稿2016.1.7" xfId="523"/>
    <cellStyle name="差_0605石屏县_2014年项目预算讨论稿-1.15" xfId="524"/>
    <cellStyle name="差_自治区本级政府性基金情况表_2015年项目预算讨论稿11.13" xfId="525"/>
    <cellStyle name="差_0605石屏县_2015年项目预算讨论稿11.13" xfId="526"/>
    <cellStyle name="差_奖励补助测算7.25 (version 1) (version 1)_2014年项目预算讨论稿-1.15" xfId="527"/>
    <cellStyle name="差_22湖南_2014年项目预算讨论稿-1.15" xfId="528"/>
    <cellStyle name="差_0605石屏县_2016年项目预算讨论稿2016.1.7" xfId="529"/>
    <cellStyle name="好_530623_2006年县级财政报表附表_2014年项目预算讨论稿-1.15" xfId="530"/>
    <cellStyle name="差_07临沂_2015年项目预算讨论稿11.13" xfId="531"/>
    <cellStyle name="差_07临沂_2016年项目预算讨论稿2016.1.7" xfId="532"/>
    <cellStyle name="千分位_ 白土" xfId="533"/>
    <cellStyle name="差_1003牟定县" xfId="534"/>
    <cellStyle name="好_文体广播部门_2014年项目预算讨论稿-1.15" xfId="535"/>
    <cellStyle name="差_2007年可用财力_2016年项目预算讨论稿2016.1.7" xfId="536"/>
    <cellStyle name="差_10月月报大表" xfId="537"/>
    <cellStyle name="差_业务工作量指标_2016年项目预算讨论稿2016.1.7" xfId="538"/>
    <cellStyle name="解释性文本 2" xfId="539"/>
    <cellStyle name="差_10月月报大表_2014年项目预算讨论稿-1.15" xfId="540"/>
    <cellStyle name="差_1110洱源县_2015年项目预算讨论稿11.13" xfId="541"/>
    <cellStyle name="差_1110洱源县_2016年项目预算讨论稿2016.1.7" xfId="542"/>
    <cellStyle name="差_11大理" xfId="543"/>
    <cellStyle name="差_汇总_2016年项目预算讨论稿2016.1.7" xfId="544"/>
    <cellStyle name="差_11大理_2014年项目预算讨论稿-1.15" xfId="545"/>
    <cellStyle name="差_11大理_2016年项目预算讨论稿2016.1.7" xfId="546"/>
    <cellStyle name="好_地方配套按人均增幅控制8.30一般预算平均增幅、人均可用财力平均增幅两次控制、社会治安系数调整、案件数调整xl_2015年项目预算讨论稿11.13" xfId="547"/>
    <cellStyle name="差_12滨州" xfId="548"/>
    <cellStyle name="好_2008云南省分县市中小学教职工统计表（教育厅提供）_2016年项目预算讨论稿2016.1.7" xfId="549"/>
    <cellStyle name="差_2009年一般性转移支付标准工资_奖励补助测算5.24冯铸_2016年项目预算讨论稿2016.1.7" xfId="550"/>
    <cellStyle name="差_奖励补助测算5.22测试_2015年项目预算讨论稿11.13" xfId="551"/>
    <cellStyle name="差_12滨州_2014年项目预算讨论稿-1.15" xfId="552"/>
    <cellStyle name="差_云南省2008年中小学教师人数统计表_2016年项目预算讨论稿2016.1.7" xfId="553"/>
    <cellStyle name="差_2009年一般性转移支付标准工资_奖励补助测算5.23新_2014年项目预算讨论稿-1.15" xfId="554"/>
    <cellStyle name="差_12滨州_2015年项目预算讨论稿11.13" xfId="555"/>
    <cellStyle name="差_12滨州_2016年项目预算讨论稿2016.1.7" xfId="556"/>
    <cellStyle name="好_财政支出对上级的依赖程度_2015年项目预算讨论稿11.13" xfId="557"/>
    <cellStyle name="差_2、土地面积、人口、粮食产量基本情况" xfId="558"/>
    <cellStyle name="差_2、土地面积、人口、粮食产量基本情况_2015年项目预算讨论稿11.13" xfId="559"/>
    <cellStyle name="差_2、土地面积、人口、粮食产量基本情况_2016年项目预算讨论稿2016.1.7" xfId="560"/>
    <cellStyle name="输入 2" xfId="561"/>
    <cellStyle name="常规 2 8" xfId="562"/>
    <cellStyle name="差_2007年政法部门业务指标_2014年项目预算讨论稿-1.15" xfId="563"/>
    <cellStyle name="差_教师绩效工资测算表（离退休按各地上报数测算）2009年1月1日_2014年项目预算讨论稿-1.15" xfId="564"/>
    <cellStyle name="差_2006年分析表_2014年项目预算讨论稿-1.15" xfId="565"/>
    <cellStyle name="差_2009年一般性转移支付标准工资_奖励补助测算7.25 (version 1) (version 1)" xfId="566"/>
    <cellStyle name="差_2006年分析表_2015年项目预算讨论稿11.13" xfId="567"/>
    <cellStyle name="好_10月月报大表" xfId="568"/>
    <cellStyle name="差_2007年政法部门业务指标_2015年项目预算讨论稿11.13" xfId="569"/>
    <cellStyle name="差_教师绩效工资测算表（离退休按各地上报数测算）2009年1月1日_2015年项目预算讨论稿11.13" xfId="570"/>
    <cellStyle name="差_2006年基础数据_2014年项目预算讨论稿-1.15" xfId="571"/>
    <cellStyle name="好_2009年一般性转移支付标准工资_奖励补助测算5.24冯铸" xfId="572"/>
    <cellStyle name="差_2006年基础数据_2015年项目预算讨论稿11.13" xfId="573"/>
    <cellStyle name="差_M03_2016年项目预算讨论稿2016.1.7" xfId="574"/>
    <cellStyle name="差_530623_2006年县级财政报表附表_2015年项目预算讨论稿11.13" xfId="575"/>
    <cellStyle name="差_2006年全省财力计算表（中央、决算）_2014年项目预算讨论稿-1.15" xfId="576"/>
    <cellStyle name="差_2006年水利统计指标统计表" xfId="577"/>
    <cellStyle name="差_指标四_2016年项目预算讨论稿2016.1.7" xfId="578"/>
    <cellStyle name="差_2006年水利统计指标统计表_2015年项目预算讨论稿11.13" xfId="579"/>
    <cellStyle name="好_2009年一般性转移支付标准工资_奖励补助测算7.23" xfId="580"/>
    <cellStyle name="差_奖励补助测算7.25 (version 1) (version 1)" xfId="581"/>
    <cellStyle name="差_2006年水利统计指标统计表_2016年项目预算讨论稿2016.1.7" xfId="582"/>
    <cellStyle name="好_Book1_2_2014年项目预算讨论稿-1.15" xfId="583"/>
    <cellStyle name="差_第五部分(才淼、饶永宏）_2015年项目预算讨论稿11.13" xfId="584"/>
    <cellStyle name="差_2006年在职人员情况" xfId="585"/>
    <cellStyle name="好_云南省2008年中小学教职工情况（教育厅提供20090101加工整理）_2016年项目预算讨论稿2016.1.7" xfId="586"/>
    <cellStyle name="差_地方配套按人均增幅控制8.31（调整结案率后）xl_2014年项目预算讨论稿-1.15" xfId="587"/>
    <cellStyle name="差_28四川" xfId="588"/>
    <cellStyle name="好_27重庆_2014年项目预算讨论稿-1.15" xfId="589"/>
    <cellStyle name="好_平邑_2014年项目预算讨论稿-1.15" xfId="590"/>
    <cellStyle name="差_2006年在职人员情况_2015年项目预算讨论稿11.13" xfId="591"/>
    <cellStyle name="差_财政供养人员_2014年项目预算讨论稿-1.15" xfId="592"/>
    <cellStyle name="差_2006年在职人员情况_2016年项目预算讨论稿2016.1.7" xfId="593"/>
    <cellStyle name="差_2007年超收额预计（3000亿）" xfId="594"/>
    <cellStyle name="好_2009年一般性转移支付标准工资_奖励补助测算5.23新_2015年项目预算讨论稿11.13" xfId="595"/>
    <cellStyle name="好_同德_2014年项目预算讨论稿-1.15" xfId="596"/>
    <cellStyle name="差_2009年一般性转移支付标准工资_奖励补助测算7.25" xfId="597"/>
    <cellStyle name="好_2007年人员分部门统计表_2016年项目预算讨论稿2016.1.7" xfId="598"/>
    <cellStyle name="差_2007年超收额预计（3000亿）_2014年项目预算讨论稿-1.15" xfId="599"/>
    <cellStyle name="差_江西超收收入安排（1-10月份）新" xfId="600"/>
    <cellStyle name="好_奖励补助测算7.25_2015年项目预算讨论稿11.13" xfId="601"/>
    <cellStyle name="差_2007年检察院案件数_2015年项目预算讨论稿11.13" xfId="602"/>
    <cellStyle name="差_2007年检察院案件数_2016年项目预算讨论稿2016.1.7" xfId="603"/>
    <cellStyle name="差_2007年可用财力" xfId="604"/>
    <cellStyle name="差_2007年可用财力_2014年项目预算讨论稿-1.15" xfId="605"/>
    <cellStyle name="差_平邑" xfId="606"/>
    <cellStyle name="差_2007年可用财力_2015年项目预算讨论稿11.13" xfId="607"/>
    <cellStyle name="好_Book1" xfId="608"/>
    <cellStyle name="差_2007年人员分部门统计表" xfId="609"/>
    <cellStyle name="差_2007年人员分部门统计表_2014年项目预算讨论稿-1.15" xfId="610"/>
    <cellStyle name="好_2009年一般性转移支付标准工资_地方配套按人均增幅控制8.30xl" xfId="611"/>
    <cellStyle name="差_2007年人员分部门统计表_2015年项目预算讨论稿11.13" xfId="612"/>
    <cellStyle name="好_2009年一般性转移支付标准工资_奖励补助测算7.25 (version 1) (version 1)" xfId="613"/>
    <cellStyle name="差_2009年一般性转移支付标准工资_不用软件计算9.1不考虑经费管理评价xl_2014年项目预算讨论稿-1.15" xfId="614"/>
    <cellStyle name="差_2007年人员分部门统计表_2016年项目预算讨论稿2016.1.7" xfId="615"/>
    <cellStyle name="差_2008年县级公安保障标准落实奖励经费分配测算_2014年项目预算讨论稿-1.15" xfId="616"/>
    <cellStyle name="好_2009年一般性转移支付标准工资" xfId="617"/>
    <cellStyle name="好_云南省2008年中小学教师人数统计表_2014年项目预算讨论稿-1.15" xfId="618"/>
    <cellStyle name="差_2009年一般性转移支付标准工资_地方配套按人均增幅控制8.30一般预算平均增幅、人均可用财力平均增幅两次控制、社会治安系数调整、案件数调整xl_2014年项目预算讨论稿-1.15" xfId="619"/>
    <cellStyle name="好_2009年一般性转移支付标准工资_~5676413_2016年项目预算讨论稿2016.1.7" xfId="620"/>
    <cellStyle name="差_2008云南省分县市中小学教职工统计表（教育厅提供）" xfId="621"/>
    <cellStyle name="差_2008云南省分县市中小学教职工统计表（教育厅提供）_2014年项目预算讨论稿-1.15" xfId="622"/>
    <cellStyle name="差_检验表_2016年项目预算讨论稿2016.1.7" xfId="623"/>
    <cellStyle name="差_2008云南省分县市中小学教职工统计表（教育厅提供）_2015年项目预算讨论稿11.13" xfId="624"/>
    <cellStyle name="差_2008云南省分县市中小学教职工统计表（教育厅提供）_2016年项目预算讨论稿2016.1.7" xfId="625"/>
    <cellStyle name="差_2009年一般性转移支付标准工资" xfId="626"/>
    <cellStyle name="差_2009年一般性转移支付标准工资_~4190974" xfId="627"/>
    <cellStyle name="差_奖励补助测算5.23新_2015年项目预算讨论稿11.13" xfId="628"/>
    <cellStyle name="差_2009年一般性转移支付标准工资_~4190974_2014年项目预算讨论稿-1.15" xfId="629"/>
    <cellStyle name="差_30云南_2015年项目预算讨论稿11.13" xfId="630"/>
    <cellStyle name="差_2009年一般性转移支付标准工资_~4190974_2016年项目预算讨论稿2016.1.7" xfId="631"/>
    <cellStyle name="差_2009年一般性转移支付标准工资_~5676413" xfId="632"/>
    <cellStyle name="差_2009年一般性转移支付标准工资_~5676413_2014年项目预算讨论稿-1.15" xfId="633"/>
    <cellStyle name="差_2009年一般性转移支付标准工资_~5676413_2015年项目预算讨论稿11.13" xfId="634"/>
    <cellStyle name="差_2009年一般性转移支付标准工资_2015年项目预算讨论稿11.13" xfId="635"/>
    <cellStyle name="差_5334_2006年迪庆县级财政报表附表" xfId="636"/>
    <cellStyle name="差_2009年一般性转移支付标准工资_2016年项目预算讨论稿2016.1.7" xfId="637"/>
    <cellStyle name="差_5334_2006年迪庆县级财政报表附表_2014年项目预算讨论稿-1.15" xfId="638"/>
    <cellStyle name="差_2009年一般性转移支付标准工资_地方配套按人均增幅控制8.30xl" xfId="639"/>
    <cellStyle name="好_地方配套按人均增幅控制8.30xl_2015年项目预算讨论稿11.13" xfId="640"/>
    <cellStyle name="差_2009年一般性转移支付标准工资_地方配套按人均增幅控制8.30xl_2014年项目预算讨论稿-1.15" xfId="641"/>
    <cellStyle name="差_2009年一般性转移支付标准工资_地方配套按人均增幅控制8.30xl_2015年项目预算讨论稿11.13" xfId="642"/>
    <cellStyle name="好_云南省2008年中小学教师人数统计表" xfId="643"/>
    <cellStyle name="差_2009年一般性转移支付标准工资_地方配套按人均增幅控制8.30一般预算平均增幅、人均可用财力平均增幅两次控制、社会治安系数调整、案件数调整xl" xfId="644"/>
    <cellStyle name="差_地方配套按人均增幅控制8.30一般预算平均增幅、人均可用财力平均增幅两次控制、社会治安系数调整、案件数调整xl_2014年项目预算讨论稿-1.15" xfId="645"/>
    <cellStyle name="好_云南省2008年中小学教师人数统计表_2015年项目预算讨论稿11.13" xfId="646"/>
    <cellStyle name="差_2009年一般性转移支付标准工资_地方配套按人均增幅控制8.30一般预算平均增幅、人均可用财力平均增幅两次控制、社会治安系数调整、案件数调整xl_2015年项目预算讨论稿11.13" xfId="647"/>
    <cellStyle name="好_云南省2008年中小学教师人数统计表_2016年项目预算讨论稿2016.1.7" xfId="648"/>
    <cellStyle name="差_2009年一般性转移支付标准工资_地方配套按人均增幅控制8.30一般预算平均增幅、人均可用财力平均增幅两次控制、社会治安系数调整、案件数调整xl_2016年项目预算讨论稿2016.1.7" xfId="649"/>
    <cellStyle name="差_2009年一般性转移支付标准工资_地方配套按人均增幅控制8.31（调整结案率后）xl" xfId="650"/>
    <cellStyle name="钎霖_4岿角利" xfId="651"/>
    <cellStyle name="差_2009年一般性转移支付标准工资_地方配套按人均增幅控制8.31（调整结案率后）xl_2015年项目预算讨论稿11.13" xfId="652"/>
    <cellStyle name="好_5334_2006年迪庆县级财政报表附表_2014年项目预算讨论稿-1.15" xfId="653"/>
    <cellStyle name="差_2009年一般性转移支付标准工资_地方配套按人均增幅控制8.31（调整结案率后）xl_2016年项目预算讨论稿2016.1.7" xfId="654"/>
    <cellStyle name="差_2009年一般性转移支付标准工资_奖励补助测算5.22测试_2015年项目预算讨论稿11.13" xfId="655"/>
    <cellStyle name="差_县级公安机关公用经费标准奖励测算方案（定稿）_2016年项目预算讨论稿2016.1.7" xfId="656"/>
    <cellStyle name="差_2009年一般性转移支付标准工资_奖励补助测算5.23新_2015年项目预算讨论稿11.13" xfId="657"/>
    <cellStyle name="差_2009年一般性转移支付标准工资_奖励补助测算5.23新_2016年项目预算讨论稿2016.1.7" xfId="658"/>
    <cellStyle name="差_2009年一般性转移支付标准工资_奖励补助测算5.24冯铸" xfId="659"/>
    <cellStyle name="差_云南省2008年中小学教师人数统计表" xfId="660"/>
    <cellStyle name="差_2009年一般性转移支付标准工资_奖励补助测算5.24冯铸_2014年项目预算讨论稿-1.15" xfId="661"/>
    <cellStyle name="差_下半年禁毒办案经费分配2544.3万元" xfId="662"/>
    <cellStyle name="差_云南省2008年中小学教师人数统计表_2014年项目预算讨论稿-1.15" xfId="663"/>
    <cellStyle name="差_2009年一般性转移支付标准工资_奖励补助测算7.25 (version 1) (version 1)_2014年项目预算讨论稿-1.15" xfId="664"/>
    <cellStyle name="好_10月月报大表_2014年项目预算讨论稿-1.15" xfId="665"/>
    <cellStyle name="差_Book1_2_2015年项目预算讨论稿11.13" xfId="666"/>
    <cellStyle name="差_江西超收收入安排（1-10月份）新_2014年项目预算讨论稿-1.15" xfId="667"/>
    <cellStyle name="好_2009年一般性转移支付标准工资_不用软件计算9.1不考虑经费管理评价xl_2015年项目预算讨论稿11.13" xfId="668"/>
    <cellStyle name="差_2009年一般性转移支付标准工资_奖励补助测算7.25_2014年项目预算讨论稿-1.15" xfId="669"/>
    <cellStyle name="好_0605石屏县" xfId="670"/>
    <cellStyle name="差_2009年一般性转移支付标准工资_奖励补助测算7.25_2016年项目预算讨论稿2016.1.7" xfId="671"/>
    <cellStyle name="好_2007年超收额预计（3000亿）" xfId="672"/>
    <cellStyle name="差_2015年部门预算项目明细10.15" xfId="673"/>
    <cellStyle name="差_历年教师人数_2015年项目预算讨论稿11.13" xfId="674"/>
    <cellStyle name="差_2016年项目预算讨论稿2016.1.7" xfId="675"/>
    <cellStyle name="差_奖励补助测算5.22测试_2014年项目预算讨论稿-1.15" xfId="676"/>
    <cellStyle name="差_22湖南" xfId="677"/>
    <cellStyle name="好_530623_2006年县级财政报表附表" xfId="678"/>
    <cellStyle name="差_22湖南_2015年项目预算讨论稿11.13" xfId="679"/>
    <cellStyle name="好_530623_2006年县级财政报表附表_2015年项目预算讨论稿11.13" xfId="680"/>
    <cellStyle name="好_奖励补助测算7.23_2014年项目预算讨论稿-1.15" xfId="681"/>
    <cellStyle name="差_28四川_2014年项目预算讨论稿-1.15" xfId="682"/>
    <cellStyle name="差_28四川_2015年项目预算讨论稿11.13" xfId="683"/>
    <cellStyle name="差_30云南_2014年项目预算讨论稿-1.15" xfId="684"/>
    <cellStyle name="常规 7" xfId="685"/>
    <cellStyle name="差_33甘肃" xfId="686"/>
    <cellStyle name="差_云南省2008年转移支付测算——州市本级考核部分及政策性测算_2015年项目预算讨论稿11.13" xfId="687"/>
    <cellStyle name="差_财政支出对上级的依赖程度" xfId="688"/>
    <cellStyle name="差_33甘肃_2014年项目预算讨论稿-1.15" xfId="689"/>
    <cellStyle name="常规_Sheet1" xfId="690"/>
    <cellStyle name="差_34青海" xfId="691"/>
    <cellStyle name="好_07临沂_2016年项目预算讨论稿2016.1.7" xfId="692"/>
    <cellStyle name="差_34青海_2014年项目预算讨论稿-1.15" xfId="693"/>
    <cellStyle name="差_34青海_2015年项目预算讨论稿11.13" xfId="694"/>
    <cellStyle name="差_34青海_2016年项目预算讨论稿2016.1.7" xfId="695"/>
    <cellStyle name="差_530623_2006年县级财政报表附表_2014年项目预算讨论稿-1.15" xfId="696"/>
    <cellStyle name="好_530629_2006年县级财政报表附表_2015年项目预算讨论稿11.13" xfId="697"/>
    <cellStyle name="差_检验表_2015年项目预算讨论稿11.13" xfId="698"/>
    <cellStyle name="差_530623_2006年县级财政报表附表_2016年项目预算讨论稿2016.1.7" xfId="699"/>
    <cellStyle name="差_530629_2006年县级财政报表附表_2014年项目预算讨论稿-1.15" xfId="700"/>
    <cellStyle name="差_地方配套按人均增幅控制8.30xl" xfId="701"/>
    <cellStyle name="差_Book1" xfId="702"/>
    <cellStyle name="好_地方配套按人均增幅控制8.31（调整结案率后）xl" xfId="703"/>
    <cellStyle name="差_Book1_1" xfId="704"/>
    <cellStyle name="差_财政供养人员_2015年项目预算讨论稿11.13" xfId="705"/>
    <cellStyle name="差_Book1_1_2014年项目预算讨论稿-1.15" xfId="706"/>
    <cellStyle name="常规 8" xfId="707"/>
    <cellStyle name="差_高中教师人数（教育厅1.6日提供）" xfId="708"/>
    <cellStyle name="差_Book1_1_2015年项目预算讨论稿11.13" xfId="709"/>
    <cellStyle name="好_2009年一般性转移支付标准工资_奖励补助测算5.22测试_2016年项目预算讨论稿2016.1.7" xfId="710"/>
    <cellStyle name="差_县级基础数据_2014年项目预算讨论稿-1.15" xfId="711"/>
    <cellStyle name="差_Book1_2_2016年项目预算讨论稿2016.1.7" xfId="712"/>
    <cellStyle name="好_2009年一般性转移支付标准工资_不用软件计算9.1不考虑经费管理评价xl_2016年项目预算讨论稿2016.1.7" xfId="713"/>
    <cellStyle name="差_Book2_2014年项目预算讨论稿-1.15" xfId="714"/>
    <cellStyle name="差_Book2_2015年项目预算讨论稿11.13" xfId="715"/>
    <cellStyle name="好_~4190974" xfId="716"/>
    <cellStyle name="好_2007年检察院案件数" xfId="717"/>
    <cellStyle name="差_高中教师人数（教育厅1.6日提供）_2014年项目预算讨论稿-1.15" xfId="718"/>
    <cellStyle name="差_Book2_2016年项目预算讨论稿2016.1.7" xfId="719"/>
    <cellStyle name="差_M01-2(州市补助收入)" xfId="720"/>
    <cellStyle name="差_M01-2(州市补助收入)_2014年项目预算讨论稿-1.15" xfId="721"/>
    <cellStyle name="差_M01-2(州市补助收入)_2016年项目预算讨论稿2016.1.7" xfId="722"/>
    <cellStyle name="差_M03" xfId="723"/>
    <cellStyle name="差_M03_2014年项目预算讨论稿-1.15" xfId="724"/>
    <cellStyle name="差_M03_2015年项目预算讨论稿11.13" xfId="725"/>
    <cellStyle name="差_县级基础数据_2016年项目预算讨论稿2016.1.7" xfId="726"/>
    <cellStyle name="差_不用软件计算9.1不考虑经费管理评价xl" xfId="727"/>
    <cellStyle name="好_奖励补助测算5.22测试" xfId="728"/>
    <cellStyle name="差_不用软件计算9.1不考虑经费管理评价xl_2014年项目预算讨论稿-1.15" xfId="729"/>
    <cellStyle name="好_奖励补助测算5.22测试_2014年项目预算讨论稿-1.15" xfId="730"/>
    <cellStyle name="差_财政供养人员" xfId="731"/>
    <cellStyle name="常规 11" xfId="732"/>
    <cellStyle name="好_城建部门_2015年项目预算讨论稿11.13" xfId="733"/>
    <cellStyle name="差_财政供养人员_2016年项目预算讨论稿2016.1.7" xfId="734"/>
    <cellStyle name="差_财政支出对上级的依赖程度_2014年项目预算讨论稿-1.15" xfId="735"/>
    <cellStyle name="好_江西超收收入安排（1-10月份）_2016年项目预算讨论稿2016.1.7" xfId="736"/>
    <cellStyle name="差_财政支出对上级的依赖程度_2015年项目预算讨论稿11.13" xfId="737"/>
    <cellStyle name="差_财政支出对上级的依赖程度_2016年项目预算讨论稿2016.1.7" xfId="738"/>
    <cellStyle name="好_汇总_2014年项目预算讨论稿-1.15" xfId="739"/>
    <cellStyle name="差_城建部门" xfId="740"/>
    <cellStyle name="好_2、土地面积、人口、粮食产量基本情况_2016年项目预算讨论稿2016.1.7" xfId="741"/>
    <cellStyle name="差_地方配套按人均增幅控制8.30xl_2016年项目预算讨论稿2016.1.7" xfId="742"/>
    <cellStyle name="好_补充表_2014年项目预算讨论稿-1.15" xfId="743"/>
    <cellStyle name="好_地方配套按人均增幅控制8.31（调整结案率后）xl_2016年项目预算讨论稿2016.1.7" xfId="744"/>
    <cellStyle name="差_地方配套按人均增幅控制8.30一般预算平均增幅、人均可用财力平均增幅两次控制、社会治安系数调整、案件数调整xl" xfId="745"/>
    <cellStyle name="好_三季度－表二_2016年项目预算讨论稿2016.1.7" xfId="746"/>
    <cellStyle name="差_地方配套按人均增幅控制8.30一般预算平均增幅、人均可用财力平均增幅两次控制、社会治安系数调整、案件数调整xl_2016年项目预算讨论稿2016.1.7" xfId="747"/>
    <cellStyle name="差_地方配套按人均增幅控制8.31（调整结案率后）xl_2016年项目预算讨论稿2016.1.7" xfId="748"/>
    <cellStyle name="差_第五部分(才淼、饶永宏）" xfId="749"/>
    <cellStyle name="差_第五部分(才淼、饶永宏）_2014年项目预算讨论稿-1.15" xfId="750"/>
    <cellStyle name="差_第一部分：综合全_2014年项目预算讨论稿-1.15" xfId="751"/>
    <cellStyle name="差_江西超收收入安排（1-10月份）_2014年项目预算讨论稿-1.15" xfId="752"/>
    <cellStyle name="差_第一部分：综合全_2015年项目预算讨论稿11.13" xfId="753"/>
    <cellStyle name="差_江西超收收入安排（1-10月份）_2015年项目预算讨论稿11.13" xfId="754"/>
    <cellStyle name="差_汇总" xfId="755"/>
    <cellStyle name="差_汇总_2014年项目预算讨论稿-1.15" xfId="756"/>
    <cellStyle name="差_检验表" xfId="757"/>
    <cellStyle name="差_汇总_2015年项目预算讨论稿11.13" xfId="758"/>
    <cellStyle name="差_汇总-县级财政报表附表" xfId="759"/>
    <cellStyle name="分级显示行_1_13区汇总" xfId="760"/>
    <cellStyle name="差_汇总-县级财政报表附表_2014年项目预算讨论稿-1.15" xfId="761"/>
    <cellStyle name="差_汇总-县级财政报表附表_2016年项目预算讨论稿2016.1.7" xfId="762"/>
    <cellStyle name="差_基础数据分析" xfId="763"/>
    <cellStyle name="差_基础数据分析_2014年项目预算讨论稿-1.15" xfId="764"/>
    <cellStyle name="差_基础数据分析_2015年项目预算讨论稿11.13" xfId="765"/>
    <cellStyle name="差_检验表（调整后）_2015年项目预算讨论稿11.13" xfId="766"/>
    <cellStyle name="差_江西超收收入安排（1-10月份）新_2016年项目预算讨论稿2016.1.7" xfId="767"/>
    <cellStyle name="差_奖励补助测算5.22测试_2016年项目预算讨论稿2016.1.7" xfId="768"/>
    <cellStyle name="差_奖励补助测算5.23新_2014年项目预算讨论稿-1.15" xfId="769"/>
    <cellStyle name="差_奖励补助测算5.24冯铸_2014年项目预算讨论稿-1.15" xfId="770"/>
    <cellStyle name="差_奖励补助测算5.24冯铸_2015年项目预算讨论稿11.13" xfId="771"/>
    <cellStyle name="差_奖励补助测算5.24冯铸_2016年项目预算讨论稿2016.1.7" xfId="772"/>
    <cellStyle name="好_2009年一般性转移支付标准工资_地方配套按人均增幅控制8.30xl_2014年项目预算讨论稿-1.15" xfId="773"/>
    <cellStyle name="差_奖励补助测算7.23" xfId="774"/>
    <cellStyle name="好_2009年一般性转移支付标准工资_奖励补助测算7.25 (version 1) (version 1)_2015年项目预算讨论稿11.13" xfId="775"/>
    <cellStyle name="差_奖励补助测算7.23_2014年项目预算讨论稿-1.15" xfId="776"/>
    <cellStyle name="差_奖励补助测算7.25 (version 1) (version 1)_2015年项目预算讨论稿11.13" xfId="777"/>
    <cellStyle name="好_2006年水利统计指标统计表" xfId="778"/>
    <cellStyle name="差_奖励补助测算7.25_2014年项目预算讨论稿-1.15" xfId="779"/>
    <cellStyle name="好_奖励补助测算5.24冯铸" xfId="780"/>
    <cellStyle name="差_奖励补助测算7.25_2015年项目预算讨论稿11.13" xfId="781"/>
    <cellStyle name="差_奖励补助测算7.25_2016年项目预算讨论稿2016.1.7" xfId="782"/>
    <cellStyle name="差_教育厅提供义务教育及高中教师人数（2009年1月6日）_2014年项目预算讨论稿-1.15" xfId="783"/>
    <cellStyle name="差_教育厅提供义务教育及高中教师人数（2009年1月6日）_2015年项目预算讨论稿11.13" xfId="784"/>
    <cellStyle name="差_同德_2014年项目预算讨论稿-1.15" xfId="785"/>
    <cellStyle name="差_教育厅提供义务教育及高中教师人数（2009年1月6日）_2016年项目预算讨论稿2016.1.7" xfId="786"/>
    <cellStyle name="常规 2 2_2014年项目预算讨论稿-1.15" xfId="787"/>
    <cellStyle name="差_历年教师人数" xfId="788"/>
    <cellStyle name="差_历年教师人数_2016年项目预算讨论稿2016.1.7" xfId="789"/>
    <cellStyle name="差_丽江汇总" xfId="790"/>
    <cellStyle name="差_丽江汇总_2014年项目预算讨论稿-1.15" xfId="791"/>
    <cellStyle name="好_卫生部门" xfId="792"/>
    <cellStyle name="差_辽宁省2007年1-10月份一般预算收入超收及安排情况统计表_2014年项目预算讨论稿-1.15" xfId="793"/>
    <cellStyle name="差_辽宁省2007年1-10月份一般预算收入超收及安排情况统计表_2015年项目预算讨论稿11.13" xfId="794"/>
    <cellStyle name="好_财政支出对上级的依赖程度_2014年项目预算讨论稿-1.15" xfId="795"/>
    <cellStyle name="差_辽宁省2007年1-10月份一般预算收入超收及安排情况统计表_2016年项目预算讨论稿2016.1.7" xfId="796"/>
    <cellStyle name="差_下半年禁吸戒毒经费1000万元_2014年项目预算讨论稿-1.15" xfId="797"/>
    <cellStyle name="好_财政供养人员" xfId="798"/>
    <cellStyle name="差_平邑_2015年项目预算讨论稿11.13" xfId="799"/>
    <cellStyle name="好_530629_2006年县级财政报表附表_2014年项目预算讨论稿-1.15" xfId="800"/>
    <cellStyle name="差_平邑_2016年项目预算讨论稿2016.1.7" xfId="801"/>
    <cellStyle name="好_业务工作量指标_2014年项目预算讨论稿-1.15" xfId="802"/>
    <cellStyle name="差_三季度－表二" xfId="803"/>
    <cellStyle name="差_三季度－表二_2015年项目预算讨论稿11.13" xfId="804"/>
    <cellStyle name="差_三季度－表二_2016年项目预算讨论稿2016.1.7" xfId="805"/>
    <cellStyle name="好_2007年可用财力_2014年项目预算讨论稿-1.15" xfId="806"/>
    <cellStyle name="差_同德_2016年项目预算讨论稿2016.1.7" xfId="807"/>
    <cellStyle name="差_卫生部门" xfId="808"/>
    <cellStyle name="差_卫生部门_2014年项目预算讨论稿-1.15" xfId="809"/>
    <cellStyle name="常规 2" xfId="810"/>
    <cellStyle name="差_卫生部门_2015年项目预算讨论稿11.13" xfId="811"/>
    <cellStyle name="差_卫生部门_2016年项目预算讨论稿2016.1.7" xfId="812"/>
    <cellStyle name="差_文体广播部门" xfId="813"/>
    <cellStyle name="好_M01-2(州市补助收入)" xfId="814"/>
    <cellStyle name="差_文体广播部门_2014年项目预算讨论稿-1.15" xfId="815"/>
    <cellStyle name="好_M01-2(州市补助收入)_2014年项目预算讨论稿-1.15" xfId="816"/>
    <cellStyle name="差_文体广播部门_2015年项目预算讨论稿11.13" xfId="817"/>
    <cellStyle name="好_M01-2(州市补助收入)_2015年项目预算讨论稿11.13" xfId="818"/>
    <cellStyle name="差_文体广播部门_2016年项目预算讨论稿2016.1.7" xfId="819"/>
    <cellStyle name="好_M01-2(州市补助收入)_2016年项目预算讨论稿2016.1.7" xfId="820"/>
    <cellStyle name="差_下半年禁毒办案经费分配2544.3万元_2014年项目预算讨论稿-1.15" xfId="821"/>
    <cellStyle name="好_同德_2016年项目预算讨论稿2016.1.7" xfId="822"/>
    <cellStyle name="差_下半年禁吸戒毒经费1000万元" xfId="823"/>
    <cellStyle name="差_下半年禁吸戒毒经费1000万元_2015年项目预算讨论稿11.13" xfId="824"/>
    <cellStyle name="差_下半年禁吸戒毒经费1000万元_2016年项目预算讨论稿2016.1.7" xfId="825"/>
    <cellStyle name="好_2009年一般性转移支付标准工资_奖励补助测算5.22测试_2014年项目预算讨论稿-1.15" xfId="826"/>
    <cellStyle name="差_县级公安机关公用经费标准奖励测算方案（定稿）" xfId="827"/>
    <cellStyle name="好_0502通海县_2014年项目预算讨论稿-1.15" xfId="828"/>
    <cellStyle name="差_县级公安机关公用经费标准奖励测算方案（定稿）_2015年项目预算讨论稿11.13" xfId="829"/>
    <cellStyle name="差_县级基础数据_2015年项目预算讨论稿11.13" xfId="830"/>
    <cellStyle name="差_业务工作量指标" xfId="831"/>
    <cellStyle name="好_2006年水利统计指标统计表_2014年项目预算讨论稿-1.15" xfId="832"/>
    <cellStyle name="好_县级基础数据" xfId="833"/>
    <cellStyle name="好_奖励补助测算5.24冯铸_2014年项目预算讨论稿-1.15" xfId="834"/>
    <cellStyle name="差_业务工作量指标_2014年项目预算讨论稿-1.15" xfId="835"/>
    <cellStyle name="差_业务工作量指标_2015年项目预算讨论稿11.13" xfId="836"/>
    <cellStyle name="差_义务教育阶段教职工人数（教育厅提供最终）" xfId="837"/>
    <cellStyle name="差_指标四_2014年项目预算讨论稿-1.15" xfId="838"/>
    <cellStyle name="差_义务教育阶段教职工人数（教育厅提供最终）_2014年项目预算讨论稿-1.15" xfId="839"/>
    <cellStyle name="差_义务教育阶段教职工人数（教育厅提供最终）_2016年项目预算讨论稿2016.1.7" xfId="840"/>
    <cellStyle name="差_云南农村义务教育统计表" xfId="841"/>
    <cellStyle name="常规 2 5" xfId="842"/>
    <cellStyle name="差_云南农村义务教育统计表_2014年项目预算讨论稿-1.15" xfId="843"/>
    <cellStyle name="好_05玉溪_2015年项目预算讨论稿11.13" xfId="844"/>
    <cellStyle name="好_教育厅提供义务教育及高中教师人数（2009年1月6日）_2016年项目预算讨论稿2016.1.7" xfId="845"/>
    <cellStyle name="差_云南农村义务教育统计表_2016年项目预算讨论稿2016.1.7" xfId="846"/>
    <cellStyle name="好_指标五" xfId="847"/>
    <cellStyle name="差_云南省2008年中小学教职工情况（教育厅提供20090101加工整理）" xfId="848"/>
    <cellStyle name="好_指标五_2015年项目预算讨论稿11.13" xfId="849"/>
    <cellStyle name="差_云南省2008年中小学教职工情况（教育厅提供20090101加工整理）_2015年项目预算讨论稿11.13" xfId="850"/>
    <cellStyle name="差_云南省2008年转移支付测算——州市本级考核部分及政策性测算_2016年项目预算讨论稿2016.1.7" xfId="851"/>
    <cellStyle name="差_云南省2008年转移支付测算——州市本级考核部分及政策性测算" xfId="852"/>
    <cellStyle name="差_指标四_2015年项目预算讨论稿11.13" xfId="853"/>
    <cellStyle name="差_指标五_2014年项目预算讨论稿-1.15" xfId="854"/>
    <cellStyle name="好_奖励补助测算5.23新_2014年项目预算讨论稿-1.15" xfId="855"/>
    <cellStyle name="差_指标五_2015年项目预算讨论稿11.13" xfId="856"/>
    <cellStyle name="好_财政供养人员_2016年项目预算讨论稿2016.1.7" xfId="857"/>
    <cellStyle name="好_奖励补助测算5.23新_2015年项目预算讨论稿11.13" xfId="858"/>
    <cellStyle name="差_自治区本级政府性基金情况表" xfId="859"/>
    <cellStyle name="差_自治区本级政府性基金情况表_2014年项目预算讨论稿-1.15" xfId="860"/>
    <cellStyle name="常规 2 2 2" xfId="861"/>
    <cellStyle name="常规 2 2_Book1" xfId="862"/>
    <cellStyle name="常规 2 3" xfId="863"/>
    <cellStyle name="常规 2 6" xfId="864"/>
    <cellStyle name="常规 2 7" xfId="865"/>
    <cellStyle name="常规 2_2014年项目预算讨论稿-1.15" xfId="866"/>
    <cellStyle name="常规 3" xfId="867"/>
    <cellStyle name="常规 4" xfId="868"/>
    <cellStyle name="好_财政支出对上级的依赖程度_2016年项目预算讨论稿2016.1.7" xfId="869"/>
    <cellStyle name="常规_2014年社会保险基金决算_柳江县财政局" xfId="870"/>
    <cellStyle name="常规_2015年预算调整表格11.18" xfId="871"/>
    <cellStyle name="常规_2016年人大报告附表-定稿版2.5" xfId="872"/>
    <cellStyle name="常规_2017年人大报告附表-1.1李" xfId="873"/>
    <cellStyle name="常规_Sheet1_1" xfId="874"/>
    <cellStyle name="好_22湖南" xfId="875"/>
    <cellStyle name="好 2" xfId="876"/>
    <cellStyle name="好_~4190974_2014年项目预算讨论稿-1.15" xfId="877"/>
    <cellStyle name="好_2007年检察院案件数_2014年项目预算讨论稿-1.15" xfId="878"/>
    <cellStyle name="好_奖励补助测算7.25_2016年项目预算讨论稿2016.1.7" xfId="879"/>
    <cellStyle name="好_~4190974_2015年项目预算讨论稿11.13" xfId="880"/>
    <cellStyle name="好_2007年检察院案件数_2015年项目预算讨论稿11.13" xfId="881"/>
    <cellStyle name="好_~4190974_2016年项目预算讨论稿2016.1.7" xfId="882"/>
    <cellStyle name="好_2007年检察院案件数_2016年项目预算讨论稿2016.1.7" xfId="883"/>
    <cellStyle name="好_~5676413" xfId="884"/>
    <cellStyle name="好_高中教师人数（教育厅1.6日提供）" xfId="885"/>
    <cellStyle name="好_~5676413_2015年项目预算讨论稿11.13" xfId="886"/>
    <cellStyle name="好_高中教师人数（教育厅1.6日提供）_2015年项目预算讨论稿11.13" xfId="887"/>
    <cellStyle name="好_~5676413_2016年项目预算讨论稿2016.1.7" xfId="888"/>
    <cellStyle name="好_高中教师人数（教育厅1.6日提供）_2016年项目预算讨论稿2016.1.7" xfId="889"/>
    <cellStyle name="好_00省级(打印)_2016年项目预算讨论稿2016.1.7" xfId="890"/>
    <cellStyle name="好_00省级(定稿)_2014年项目预算讨论稿-1.15" xfId="891"/>
    <cellStyle name="好_Book1_2_2016年项目预算讨论稿2016.1.7" xfId="892"/>
    <cellStyle name="好_第五部分(才淼、饶永宏）_2014年项目预算讨论稿-1.15" xfId="893"/>
    <cellStyle name="好_00省级(定稿)_2015年项目预算讨论稿11.13" xfId="894"/>
    <cellStyle name="好_2006年基础数据" xfId="895"/>
    <cellStyle name="好_第五部分(才淼、饶永宏）_2015年项目预算讨论稿11.13" xfId="896"/>
    <cellStyle name="好_03昭通_2014年项目预算讨论稿-1.15" xfId="897"/>
    <cellStyle name="好_03昭通_2016年项目预算讨论稿2016.1.7" xfId="898"/>
    <cellStyle name="好_0502通海县_2015年项目预算讨论稿11.13" xfId="899"/>
    <cellStyle name="好_0502通海县_2016年项目预算讨论稿2016.1.7" xfId="900"/>
    <cellStyle name="好_2014年项目预算讨论稿-1.18" xfId="901"/>
    <cellStyle name="好_05潍坊" xfId="902"/>
    <cellStyle name="好_05潍坊_2015年项目预算讨论稿11.13" xfId="903"/>
    <cellStyle name="好_05玉溪_2016年项目预算讨论稿2016.1.7" xfId="904"/>
    <cellStyle name="好_0605石屏县_2014年项目预算讨论稿-1.15" xfId="905"/>
    <cellStyle name="好_07临沂" xfId="906"/>
    <cellStyle name="好_27重庆_2016年项目预算讨论稿2016.1.7" xfId="907"/>
    <cellStyle name="好_07临沂_2014年项目预算讨论稿-1.15" xfId="908"/>
    <cellStyle name="好_平邑_2016年项目预算讨论稿2016.1.7" xfId="909"/>
    <cellStyle name="好_07临沂_2015年项目预算讨论稿11.13" xfId="910"/>
    <cellStyle name="好_1003牟定县" xfId="911"/>
    <cellStyle name="好_1110洱源县" xfId="912"/>
    <cellStyle name="好_奖励补助测算7.25 (version 1) (version 1)" xfId="913"/>
    <cellStyle name="好_1110洱源县_2014年项目预算讨论稿-1.15" xfId="914"/>
    <cellStyle name="好_奖励补助测算7.25 (version 1) (version 1)_2014年项目预算讨论稿-1.15" xfId="915"/>
    <cellStyle name="好_1110洱源县_2015年项目预算讨论稿11.13" xfId="916"/>
    <cellStyle name="好_奖励补助测算7.25 (version 1) (version 1)_2015年项目预算讨论稿11.13" xfId="917"/>
    <cellStyle name="好_卫生部门_2014年项目预算讨论稿-1.15" xfId="918"/>
    <cellStyle name="好_1110洱源县_2016年项目预算讨论稿2016.1.7" xfId="919"/>
    <cellStyle name="好_奖励补助测算7.25 (version 1) (version 1)_2016年项目预算讨论稿2016.1.7" xfId="920"/>
    <cellStyle name="好_11大理_2014年项目预算讨论稿-1.15" xfId="921"/>
    <cellStyle name="好_12滨州" xfId="922"/>
    <cellStyle name="好_12滨州_2014年项目预算讨论稿-1.15" xfId="923"/>
    <cellStyle name="好_12滨州_2015年项目预算讨论稿11.13" xfId="924"/>
    <cellStyle name="好_12滨州_2016年项目预算讨论稿2016.1.7" xfId="925"/>
    <cellStyle name="好_2、土地面积、人口、粮食产量基本情况" xfId="926"/>
    <cellStyle name="好_2、土地面积、人口、粮食产量基本情况_2014年项目预算讨论稿-1.15" xfId="927"/>
    <cellStyle name="好_2006年分析表_2015年项目预算讨论稿11.13" xfId="928"/>
    <cellStyle name="好_2006年分析表_2016年项目预算讨论稿2016.1.7" xfId="929"/>
    <cellStyle name="好_2006年基础数据_2014年项目预算讨论稿-1.15" xfId="930"/>
    <cellStyle name="好_2006年基础数据_2015年项目预算讨论稿11.13" xfId="931"/>
    <cellStyle name="好_2006年全省财力计算表（中央、决算）" xfId="932"/>
    <cellStyle name="好_2006年全省财力计算表（中央、决算）_2014年项目预算讨论稿-1.15" xfId="933"/>
    <cellStyle name="好_2006年全省财力计算表（中央、决算）_2015年项目预算讨论稿11.13" xfId="934"/>
    <cellStyle name="好_2006年全省财力计算表（中央、决算）_2016年项目预算讨论稿2016.1.7" xfId="935"/>
    <cellStyle name="好_2006年水利统计指标统计表_2016年项目预算讨论稿2016.1.7" xfId="936"/>
    <cellStyle name="好_2007年可用财力_2015年项目预算讨论稿11.13" xfId="937"/>
    <cellStyle name="好_奖励补助测算5.24冯铸_2016年项目预算讨论稿2016.1.7" xfId="938"/>
    <cellStyle name="好_2007年超收额预计（3000亿）_2014年项目预算讨论稿-1.15" xfId="939"/>
    <cellStyle name="好_2006年在职人员情况" xfId="940"/>
    <cellStyle name="好_基础数据分析_2015年项目预算讨论稿11.13" xfId="941"/>
    <cellStyle name="好_2006年在职人员情况_2014年项目预算讨论稿-1.15" xfId="942"/>
    <cellStyle name="好_2006年在职人员情况_2015年项目预算讨论稿11.13" xfId="943"/>
    <cellStyle name="好_2006年在职人员情况_2016年项目预算讨论稿2016.1.7" xfId="944"/>
    <cellStyle name="好_2007年超收额预计（3000亿）_2016年项目预算讨论稿2016.1.7" xfId="945"/>
    <cellStyle name="好_2007年可用财力" xfId="946"/>
    <cellStyle name="好_2007年可用财力_2016年项目预算讨论稿2016.1.7" xfId="947"/>
    <cellStyle name="好_2007年人员分部门统计表_2014年项目预算讨论稿-1.15" xfId="948"/>
    <cellStyle name="好_教育厅提供义务教育及高中教师人数（2009年1月6日）_2015年项目预算讨论稿11.13" xfId="949"/>
    <cellStyle name="好_义务教育阶段教职工人数（教育厅提供最终）_2014年项目预算讨论稿-1.15" xfId="950"/>
    <cellStyle name="好_2007年人员分部门统计表_2015年项目预算讨论稿11.13" xfId="951"/>
    <cellStyle name="好_2007年政法部门业务指标" xfId="952"/>
    <cellStyle name="好_2007年政法部门业务指标_2014年项目预算讨论稿-1.15" xfId="953"/>
    <cellStyle name="好_2007年政法部门业务指标_2015年项目预算讨论稿11.13" xfId="954"/>
    <cellStyle name="好_2007年政法部门业务指标_2016年项目预算讨论稿2016.1.7" xfId="955"/>
    <cellStyle name="好_2008年县级公安保障标准落实奖励经费分配测算" xfId="956"/>
    <cellStyle name="好_卫生部门_2016年项目预算讨论稿2016.1.7" xfId="957"/>
    <cellStyle name="好_2008年县级公安保障标准落实奖励经费分配测算_2016年项目预算讨论稿2016.1.7" xfId="958"/>
    <cellStyle name="好_2008云南省分县市中小学教职工统计表（教育厅提供）" xfId="959"/>
    <cellStyle name="好_云南省2008年中小学教职工情况（教育厅提供20090101加工整理）" xfId="960"/>
    <cellStyle name="好_2008云南省分县市中小学教职工统计表（教育厅提供）_2014年项目预算讨论稿-1.15" xfId="961"/>
    <cellStyle name="好_2009年一般性转移支付标准工资_~4190974_2014年项目预算讨论稿-1.15" xfId="962"/>
    <cellStyle name="好_2009年一般性转移支付标准工资_~4190974_2015年项目预算讨论稿11.13" xfId="963"/>
    <cellStyle name="好_2009年一般性转移支付标准工资_~4190974_2016年项目预算讨论稿2016.1.7" xfId="964"/>
    <cellStyle name="好_2009年一般性转移支付标准工资_2016年项目预算讨论稿2016.1.7" xfId="965"/>
    <cellStyle name="好_M03_2015年项目预算讨论稿11.13" xfId="966"/>
    <cellStyle name="好_2009年一般性转移支付标准工资_地方配套按人均增幅控制8.30xl_2016年项目预算讨论稿2016.1.7" xfId="967"/>
    <cellStyle name="强调文字颜色 6 2" xfId="968"/>
    <cellStyle name="好_Book2" xfId="969"/>
    <cellStyle name="好_2009年一般性转移支付标准工资_地方配套按人均增幅控制8.30一般预算平均增幅、人均可用财力平均增幅两次控制、社会治安系数调整、案件数调整xl" xfId="970"/>
    <cellStyle name="好_2009年一般性转移支付标准工资_地方配套按人均增幅控制8.30一般预算平均增幅、人均可用财力平均增幅两次控制、社会治安系数调整、案件数调整xl_2014年项目预算讨论稿-1.15" xfId="971"/>
    <cellStyle name="好_2009年一般性转移支付标准工资_地方配套按人均增幅控制8.30一般预算平均增幅、人均可用财力平均增幅两次控制、社会治安系数调整、案件数调整xl_2015年项目预算讨论稿11.13" xfId="972"/>
    <cellStyle name="好_2009年一般性转移支付标准工资_地方配套按人均增幅控制8.30一般预算平均增幅、人均可用财力平均增幅两次控制、社会治安系数调整、案件数调整xl_2016年项目预算讨论稿2016.1.7" xfId="973"/>
    <cellStyle name="好_2009年一般性转移支付标准工资_奖励补助测算5.24冯铸_2014年项目预算讨论稿-1.15" xfId="974"/>
    <cellStyle name="好_2009年一般性转移支付标准工资_地方配套按人均增幅控制8.31（调整结案率后）xl" xfId="975"/>
    <cellStyle name="好_2009年一般性转移支付标准工资_地方配套按人均增幅控制8.31（调整结案率后）xl_2016年项目预算讨论稿2016.1.7" xfId="976"/>
    <cellStyle name="好_2009年一般性转移支付标准工资_奖励补助测算5.22测试" xfId="977"/>
    <cellStyle name="链接单元格 2" xfId="978"/>
    <cellStyle name="好_2009年一般性转移支付标准工资_奖励补助测算5.22测试_2015年项目预算讨论稿11.13" xfId="979"/>
    <cellStyle name="好_2009年一般性转移支付标准工资_奖励补助测算5.23新" xfId="980"/>
    <cellStyle name="好_2009年一般性转移支付标准工资_奖励补助测算5.23新_2014年项目预算讨论稿-1.15" xfId="981"/>
    <cellStyle name="好_2009年一般性转移支付标准工资_奖励补助测算5.23新_2016年项目预算讨论稿2016.1.7" xfId="982"/>
    <cellStyle name="好_2009年一般性转移支付标准工资_奖励补助测算5.24冯铸_2015年项目预算讨论稿11.13" xfId="983"/>
    <cellStyle name="好_2009年一般性转移支付标准工资_奖励补助测算5.24冯铸_2016年项目预算讨论稿2016.1.7" xfId="984"/>
    <cellStyle name="好_2009年一般性转移支付标准工资_奖励补助测算7.23_2015年项目预算讨论稿11.13" xfId="985"/>
    <cellStyle name="好_2009年一般性转移支付标准工资_奖励补助测算7.23_2016年项目预算讨论稿2016.1.7" xfId="986"/>
    <cellStyle name="好_2009年一般性转移支付标准工资_奖励补助测算7.25" xfId="987"/>
    <cellStyle name="好_2009年一般性转移支付标准工资_奖励补助测算7.25 (version 1) (version 1)_2016年项目预算讨论稿2016.1.7" xfId="988"/>
    <cellStyle name="好_2009年一般性转移支付标准工资_奖励补助测算7.25_2014年项目预算讨论稿-1.15" xfId="989"/>
    <cellStyle name="好_2009年一般性转移支付标准工资_奖励补助测算7.25_2015年项目预算讨论稿11.13" xfId="990"/>
    <cellStyle name="好_2009年一般性转移支付标准工资_奖励补助测算7.25_2016年项目预算讨论稿2016.1.7" xfId="991"/>
    <cellStyle name="好_财政供养人员_2014年项目预算讨论稿-1.15" xfId="992"/>
    <cellStyle name="好_2015年部门预算项目明细10.15" xfId="993"/>
    <cellStyle name="好_2015年项目预算讨论稿11.13" xfId="994"/>
    <cellStyle name="好_2016年鸿源公司预算编制表" xfId="995"/>
    <cellStyle name="好_22湖南_2014年项目预算讨论稿-1.15" xfId="996"/>
    <cellStyle name="好_22湖南_2015年项目预算讨论稿11.13" xfId="997"/>
    <cellStyle name="好_22湖南_2016年项目预算讨论稿2016.1.7" xfId="998"/>
    <cellStyle name="好_27重庆" xfId="999"/>
    <cellStyle name="好_平邑" xfId="1000"/>
    <cellStyle name="好_27重庆_2015年项目预算讨论稿11.13" xfId="1001"/>
    <cellStyle name="好_平邑_2015年项目预算讨论稿11.13" xfId="1002"/>
    <cellStyle name="好_28四川" xfId="1003"/>
    <cellStyle name="好_28四川_2016年项目预算讨论稿2016.1.7" xfId="1004"/>
    <cellStyle name="好_30云南_2014年项目预算讨论稿-1.15" xfId="1005"/>
    <cellStyle name="好_30云南_2015年项目预算讨论稿11.13" xfId="1006"/>
    <cellStyle name="好_30云南_2016年项目预算讨论稿2016.1.7" xfId="1007"/>
    <cellStyle name="好_33甘肃_2014年项目预算讨论稿-1.15" xfId="1008"/>
    <cellStyle name="好_江西超收收入安排（1-10月份）新_2016年项目预算讨论稿2016.1.7" xfId="1009"/>
    <cellStyle name="好_33甘肃_2015年项目预算讨论稿11.13" xfId="1010"/>
    <cellStyle name="好_34青海_2014年项目预算讨论稿-1.15" xfId="1011"/>
    <cellStyle name="好_530629_2006年县级财政报表附表" xfId="1012"/>
    <cellStyle name="好_5334_2006年迪庆县级财政报表附表" xfId="1013"/>
    <cellStyle name="好_5334_2006年迪庆县级财政报表附表_2015年项目预算讨论稿11.13" xfId="1014"/>
    <cellStyle name="好_5334_2006年迪庆县级财政报表附表_2016年项目预算讨论稿2016.1.7" xfId="1015"/>
    <cellStyle name="好_Book1_1" xfId="1016"/>
    <cellStyle name="好_M03_2016年项目预算讨论稿2016.1.7" xfId="1017"/>
    <cellStyle name="好_Book1_1_2015年项目预算讨论稿11.13" xfId="1018"/>
    <cellStyle name="好_Book1_1_2016年项目预算讨论稿2016.1.7" xfId="1019"/>
    <cellStyle name="好_Book2_2016年项目预算讨论稿2016.1.7" xfId="1020"/>
    <cellStyle name="好_补充表" xfId="1021"/>
    <cellStyle name="好_补充表_2016年项目预算讨论稿2016.1.7" xfId="1022"/>
    <cellStyle name="好_不用软件计算9.1不考虑经费管理评价xl" xfId="1023"/>
    <cellStyle name="好_不用软件计算9.1不考虑经费管理评价xl_2014年项目预算讨论稿-1.15" xfId="1024"/>
    <cellStyle name="好_不用软件计算9.1不考虑经费管理评价xl_2016年项目预算讨论稿2016.1.7" xfId="1025"/>
    <cellStyle name="好_财政供养人员_2015年项目预算讨论稿11.13" xfId="1026"/>
    <cellStyle name="好_财政支出对上级的依赖程度" xfId="1027"/>
    <cellStyle name="好_城建部门" xfId="1028"/>
    <cellStyle name="好_城建部门_2016年项目预算讨论稿2016.1.7" xfId="1029"/>
    <cellStyle name="好_地方配套按人均增幅控制8.30xl" xfId="1030"/>
    <cellStyle name="好_地方配套按人均增幅控制8.30一般预算平均增幅、人均可用财力平均增幅两次控制、社会治安系数调整、案件数调整xl" xfId="1031"/>
    <cellStyle name="好_地方配套按人均增幅控制8.30一般预算平均增幅、人均可用财力平均增幅两次控制、社会治安系数调整、案件数调整xl_2014年项目预算讨论稿-1.15" xfId="1032"/>
    <cellStyle name="好_地方配套按人均增幅控制8.30一般预算平均增幅、人均可用财力平均增幅两次控制、社会治安系数调整、案件数调整xl_2016年项目预算讨论稿2016.1.7" xfId="1033"/>
    <cellStyle name="好_第一部分：综合全_2015年项目预算讨论稿11.13" xfId="1034"/>
    <cellStyle name="好_汇总" xfId="1035"/>
    <cellStyle name="好_汇总-县级财政报表附表_2016年项目预算讨论稿2016.1.7" xfId="1036"/>
    <cellStyle name="好_基础数据分析" xfId="1037"/>
    <cellStyle name="好_基础数据分析_2014年项目预算讨论稿-1.15" xfId="1038"/>
    <cellStyle name="好_检验表（调整后）" xfId="1039"/>
    <cellStyle name="好_检验表（调整后）_2014年项目预算讨论稿-1.15" xfId="1040"/>
    <cellStyle name="好_江西超收收入安排（1-10月份）" xfId="1041"/>
    <cellStyle name="好_江西超收收入安排（1-10月份）_2015年项目预算讨论稿11.13" xfId="1042"/>
    <cellStyle name="好_江西超收收入安排（1-10月份）新" xfId="1043"/>
    <cellStyle name="好_江西超收收入安排（1-10月份）新_2015年项目预算讨论稿11.13" xfId="1044"/>
    <cellStyle name="好_奖励补助测算7.23" xfId="1045"/>
    <cellStyle name="好_奖励补助测算7.23_2016年项目预算讨论稿2016.1.7" xfId="1046"/>
    <cellStyle name="后继超链接" xfId="1047"/>
    <cellStyle name="好_奖励补助测算7.25" xfId="1048"/>
    <cellStyle name="好_奖励补助测算7.25_2014年项目预算讨论稿-1.15" xfId="1049"/>
    <cellStyle name="好_教师绩效工资测算表（离退休按各地上报数测算）2009年1月1日" xfId="1050"/>
    <cellStyle name="好_教师绩效工资测算表（离退休按各地上报数测算）2009年1月1日_2015年项目预算讨论稿11.13" xfId="1051"/>
    <cellStyle name="好_教师绩效工资测算表（离退休按各地上报数测算）2009年1月1日_2016年项目预算讨论稿2016.1.7" xfId="1052"/>
    <cellStyle name="好_教育厅提供义务教育及高中教师人数（2009年1月6日）" xfId="1053"/>
    <cellStyle name="好_教育厅提供义务教育及高中教师人数（2009年1月6日）_2014年项目预算讨论稿-1.15" xfId="1054"/>
    <cellStyle name="好_业务工作量指标" xfId="1055"/>
    <cellStyle name="好_历年教师人数_2014年项目预算讨论稿-1.15" xfId="1056"/>
    <cellStyle name="好_丽江汇总" xfId="1057"/>
    <cellStyle name="好_丽江汇总_2014年项目预算讨论稿-1.15" xfId="1058"/>
    <cellStyle name="好_丽江汇总_2016年项目预算讨论稿2016.1.7" xfId="1059"/>
    <cellStyle name="好_辽宁省2007年1-10月份一般预算收入超收及安排情况统计表_2016年项目预算讨论稿2016.1.7" xfId="1060"/>
    <cellStyle name="好_三季度－表二_2014年项目预算讨论稿-1.15" xfId="1061"/>
    <cellStyle name="好_同德" xfId="1062"/>
    <cellStyle name="好_卫生部门_2015年项目预算讨论稿11.13" xfId="1063"/>
    <cellStyle name="好_文体广播部门" xfId="1064"/>
    <cellStyle name="好_文体广播部门_2015年项目预算讨论稿11.13" xfId="1065"/>
    <cellStyle name="好_文体广播部门_2016年项目预算讨论稿2016.1.7" xfId="1066"/>
    <cellStyle name="好_下半年禁毒办案经费分配2544.3万元_2014年项目预算讨论稿-1.15" xfId="1067"/>
    <cellStyle name="好_下半年禁毒办案经费分配2544.3万元_2016年项目预算讨论稿2016.1.7" xfId="1068"/>
    <cellStyle name="好_下半年禁吸戒毒经费1000万元" xfId="1069"/>
    <cellStyle name="好_下半年禁吸戒毒经费1000万元_2014年项目预算讨论稿-1.15" xfId="1070"/>
    <cellStyle name="好_下半年禁吸戒毒经费1000万元_2015年项目预算讨论稿11.13" xfId="1071"/>
    <cellStyle name="好_下半年禁吸戒毒经费1000万元_2016年项目预算讨论稿2016.1.7" xfId="1072"/>
    <cellStyle name="好_县级公安机关公用经费标准奖励测算方案（定稿）" xfId="1073"/>
    <cellStyle name="好_县级公安机关公用经费标准奖励测算方案（定稿）_2014年项目预算讨论稿-1.15" xfId="1074"/>
    <cellStyle name="好_县级公安机关公用经费标准奖励测算方案（定稿）_2015年项目预算讨论稿11.13" xfId="1075"/>
    <cellStyle name="好_县级公安机关公用经费标准奖励测算方案（定稿）_2016年项目预算讨论稿2016.1.7" xfId="1076"/>
    <cellStyle name="好_县级基础数据_2014年项目预算讨论稿-1.15" xfId="1077"/>
    <cellStyle name="好_自治区本级政府性基金情况表" xfId="1078"/>
    <cellStyle name="好_县级基础数据_2015年项目预算讨论稿11.13" xfId="1079"/>
    <cellStyle name="好_县级基础数据_2016年项目预算讨论稿2016.1.7" xfId="1080"/>
    <cellStyle name="好_业务工作量指标_2015年项目预算讨论稿11.13" xfId="1081"/>
    <cellStyle name="好_业务工作量指标_2016年项目预算讨论稿2016.1.7" xfId="1082"/>
    <cellStyle name="好_义务教育阶段教职工人数（教育厅提供最终）" xfId="1083"/>
    <cellStyle name="好_义务教育阶段教职工人数（教育厅提供最终）_2016年项目预算讨论稿2016.1.7" xfId="1084"/>
    <cellStyle name="好_云南农村义务教育统计表" xfId="1085"/>
    <cellStyle name="好_云南农村义务教育统计表_2014年项目预算讨论稿-1.15" xfId="1086"/>
    <cellStyle name="好_云南农村义务教育统计表_2015年项目预算讨论稿11.13" xfId="1087"/>
    <cellStyle name="好_云南省2008年中小学教职工情况（教育厅提供20090101加工整理）_2014年项目预算讨论稿-1.15" xfId="1088"/>
    <cellStyle name="好_云南省2008年中小学教职工情况（教育厅提供20090101加工整理）_2015年项目预算讨论稿11.13" xfId="1089"/>
    <cellStyle name="好_云南省2008年转移支付测算——州市本级考核部分及政策性测算" xfId="1090"/>
    <cellStyle name="好_云南省2008年转移支付测算——州市本级考核部分及政策性测算_2014年项目预算讨论稿-1.15" xfId="1091"/>
    <cellStyle name="好_云南省2008年转移支付测算——州市本级考核部分及政策性测算_2015年项目预算讨论稿11.13" xfId="1092"/>
    <cellStyle name="好_云南省2008年转移支付测算——州市本级考核部分及政策性测算_2016年项目预算讨论稿2016.1.7" xfId="1093"/>
    <cellStyle name="好_指标四" xfId="1094"/>
    <cellStyle name="好_指标四_2014年项目预算讨论稿-1.15" xfId="1095"/>
    <cellStyle name="好_指标四_2016年项目预算讨论稿2016.1.7" xfId="1096"/>
    <cellStyle name="好_自治区本级政府性基金情况表_2014年项目预算讨论稿-1.15" xfId="1097"/>
    <cellStyle name="好_自治区本级政府性基金情况表_2016年项目预算讨论稿2016.1.7" xfId="1098"/>
    <cellStyle name="后继超级链接" xfId="1099"/>
    <cellStyle name="汇总 2" xfId="1100"/>
    <cellStyle name="计算 2" xfId="1101"/>
    <cellStyle name="检查单元格 2" xfId="1102"/>
    <cellStyle name="借出原因" xfId="1103"/>
    <cellStyle name="霓付 [0]_ +Foil &amp; -FOIL &amp; PAPER" xfId="1104"/>
    <cellStyle name="霓付_ +Foil &amp; -FOIL &amp; PAPER" xfId="1105"/>
    <cellStyle name="烹拳 [0]_ +Foil &amp; -FOIL &amp; PAPER" xfId="1106"/>
    <cellStyle name="烹拳_ +Foil &amp; -FOIL &amp; PAPER" xfId="1107"/>
    <cellStyle name="普通_ 白土" xfId="1108"/>
    <cellStyle name="千位[0]_ 方正PC" xfId="1109"/>
    <cellStyle name="千位_ 方正PC" xfId="1110"/>
    <cellStyle name="千位分隔 2" xfId="1111"/>
    <cellStyle name="千位分隔[0] 2" xfId="1112"/>
    <cellStyle name="千位分隔_2012项目预算讨论稿-2.7" xfId="1113"/>
    <cellStyle name="千位分季_新建 Microsoft Excel 工作表" xfId="1114"/>
    <cellStyle name="强调 1" xfId="1115"/>
    <cellStyle name="强调 2" xfId="1116"/>
    <cellStyle name="强调 3" xfId="1117"/>
    <cellStyle name="强调文字颜色 2 2" xfId="1118"/>
    <cellStyle name="强调文字颜色 3 2" xfId="1119"/>
    <cellStyle name="强调文字颜色 5 2" xfId="1120"/>
    <cellStyle name="适中 2" xfId="1121"/>
    <cellStyle name="数量" xfId="1122"/>
    <cellStyle name="未定义" xfId="1123"/>
    <cellStyle name="样式 1" xfId="1124"/>
    <cellStyle name="昗弨_Pacific Region P&amp;L" xfId="1125"/>
    <cellStyle name="寘嬫愗傝 [0.00]_Region Orders (2)" xfId="1126"/>
    <cellStyle name="注释 2" xfId="1127"/>
    <cellStyle name="콤마 [0]_BOILER-CO1" xfId="1128"/>
    <cellStyle name="표준_0N-HANDLING " xfId="1129"/>
  </cellStyles>
  <tableStyles count="0" defaultTableStyle="TableStyleMedium9" defaultPivotStyle="PivotStyleLight16"/>
  <colors>
    <mruColors>
      <color rgb="0092D050"/>
      <color rgb="009BC2E6"/>
      <color rgb="00FFFFFF"/>
      <color rgb="00FF0000"/>
      <color rgb="00000000"/>
      <color rgb="00FFFF00"/>
      <color rgb="00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4.xml"/><Relationship Id="rId15" Type="http://schemas.openxmlformats.org/officeDocument/2006/relationships/externalLink" Target="externalLinks/externalLink3.xml"/><Relationship Id="rId14" Type="http://schemas.openxmlformats.org/officeDocument/2006/relationships/externalLink" Target="externalLinks/externalLink2.xml"/><Relationship Id="rId13" Type="http://schemas.openxmlformats.org/officeDocument/2006/relationships/externalLink" Target="externalLinks/externalLink1.xml"/><Relationship Id="rId12" Type="http://schemas.openxmlformats.org/officeDocument/2006/relationships/customXml" Target="../customXml/item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Administrator\Documents\tencent%20files\357206553\filerecv\Documents%20and%20Settings\Administrator\My%20Documents\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22\2022&#24180;&#36130;&#25919;&#39044;&#31639;&#33609;&#26696;--1.15&#23450;&#31295;\2022&#24180;&#36130;&#25919;&#39044;&#31639;&#33609;&#26696;--1.15&#23450;&#31295;\2022&#24180;&#20154;&#22823;&#25253;&#21578;&#38468;&#34920;1.15--&#23450;&#312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dministrator\AppData\Roaming\kingsoft\office6\backup\&#37096;&#38376;&#39044;&#31639;&#39033;&#30446;&#24180;&#24230;&#39044;&#31639;&#34920;&#65288;&#34892;&#36716;&#21015;&#35270;&#35282;&#65289;&#39033;&#30446;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esktop\&#39044;&#31639;&#25903;&#20986;&#34920;1.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一财政收入表"/>
      <sheetName val="表二一般公共预算支出执行表"/>
      <sheetName val="表三一般公共预算收支总表"/>
      <sheetName val="表四一般公共预算支出预算表"/>
      <sheetName val="表四政府经济分类科目表"/>
      <sheetName val="表五政府性基金收支总表"/>
      <sheetName val="表五政府性基金支出明细表"/>
      <sheetName val="表六国有资本经营预算收支表"/>
      <sheetName val="表七社会保险基金收支表"/>
    </sheetNames>
    <sheetDataSet>
      <sheetData sheetId="0" refreshError="1"/>
      <sheetData sheetId="1" refreshError="1"/>
      <sheetData sheetId="2" refreshError="1"/>
      <sheetData sheetId="3" refreshError="1">
        <row r="8">
          <cell r="A8">
            <v>20101</v>
          </cell>
          <cell r="B8" t="str">
            <v>人大事务</v>
          </cell>
          <cell r="C8">
            <v>1084.93</v>
          </cell>
          <cell r="D8">
            <v>721.73</v>
          </cell>
          <cell r="E8">
            <v>363.2</v>
          </cell>
        </row>
        <row r="8">
          <cell r="H8">
            <v>908.66</v>
          </cell>
          <cell r="I8">
            <v>602.1</v>
          </cell>
          <cell r="J8">
            <v>284.7</v>
          </cell>
          <cell r="K8">
            <v>21.86</v>
          </cell>
        </row>
        <row r="9">
          <cell r="A9">
            <v>20102</v>
          </cell>
          <cell r="B9" t="str">
            <v>政协事务</v>
          </cell>
          <cell r="C9">
            <v>465.05</v>
          </cell>
          <cell r="D9">
            <v>331.47</v>
          </cell>
          <cell r="E9">
            <v>133.58</v>
          </cell>
        </row>
        <row r="9">
          <cell r="H9">
            <v>443.32</v>
          </cell>
          <cell r="I9">
            <v>312.52</v>
          </cell>
          <cell r="J9">
            <v>100.8</v>
          </cell>
          <cell r="K9">
            <v>30</v>
          </cell>
        </row>
        <row r="10">
          <cell r="A10">
            <v>20103</v>
          </cell>
          <cell r="B10" t="str">
            <v>政府办公厅(室)及相关机构事务</v>
          </cell>
          <cell r="C10">
            <v>15942.42</v>
          </cell>
          <cell r="D10">
            <v>12057.35</v>
          </cell>
          <cell r="E10">
            <v>3885.07</v>
          </cell>
        </row>
        <row r="10">
          <cell r="H10">
            <v>15658.5</v>
          </cell>
          <cell r="I10">
            <v>12390.41</v>
          </cell>
          <cell r="J10">
            <v>3268.09</v>
          </cell>
        </row>
        <row r="11">
          <cell r="A11">
            <v>20104</v>
          </cell>
          <cell r="B11" t="str">
            <v>发展与改革事务</v>
          </cell>
          <cell r="C11">
            <v>780.07</v>
          </cell>
          <cell r="D11">
            <v>586.47</v>
          </cell>
          <cell r="E11">
            <v>193.6</v>
          </cell>
        </row>
        <row r="11">
          <cell r="H11">
            <v>706.65</v>
          </cell>
          <cell r="I11">
            <v>542.3</v>
          </cell>
          <cell r="J11">
            <v>164.35</v>
          </cell>
        </row>
        <row r="12">
          <cell r="A12">
            <v>20105</v>
          </cell>
          <cell r="B12" t="str">
            <v>统计信息事务</v>
          </cell>
          <cell r="C12">
            <v>514.36</v>
          </cell>
          <cell r="D12">
            <v>249.36</v>
          </cell>
          <cell r="E12">
            <v>265</v>
          </cell>
        </row>
        <row r="12">
          <cell r="H12">
            <v>351.43</v>
          </cell>
          <cell r="I12">
            <v>240.65</v>
          </cell>
          <cell r="J12">
            <v>110.78</v>
          </cell>
        </row>
        <row r="13">
          <cell r="A13">
            <v>20106</v>
          </cell>
          <cell r="B13" t="str">
            <v>财政事务</v>
          </cell>
          <cell r="C13">
            <v>2577.4</v>
          </cell>
          <cell r="D13">
            <v>1261.1</v>
          </cell>
          <cell r="E13">
            <v>1316.3</v>
          </cell>
        </row>
        <row r="13">
          <cell r="H13">
            <v>1695.16</v>
          </cell>
          <cell r="I13">
            <v>1066.36</v>
          </cell>
          <cell r="J13">
            <v>628.8</v>
          </cell>
        </row>
        <row r="14">
          <cell r="A14">
            <v>20107</v>
          </cell>
          <cell r="B14" t="str">
            <v>税收事务</v>
          </cell>
          <cell r="C14">
            <v>810</v>
          </cell>
        </row>
        <row r="14">
          <cell r="E14">
            <v>810</v>
          </cell>
        </row>
        <row r="14">
          <cell r="H14">
            <v>1032.5</v>
          </cell>
          <cell r="I14">
            <v>0</v>
          </cell>
          <cell r="J14">
            <v>1032.5</v>
          </cell>
        </row>
        <row r="15">
          <cell r="A15">
            <v>20108</v>
          </cell>
          <cell r="B15" t="str">
            <v>审计事务</v>
          </cell>
          <cell r="C15">
            <v>425.8</v>
          </cell>
          <cell r="D15">
            <v>291</v>
          </cell>
          <cell r="E15">
            <v>134.8</v>
          </cell>
        </row>
        <row r="15">
          <cell r="H15">
            <v>394.42</v>
          </cell>
          <cell r="I15">
            <v>259.62</v>
          </cell>
          <cell r="J15">
            <v>134.8</v>
          </cell>
        </row>
        <row r="16">
          <cell r="A16">
            <v>20111</v>
          </cell>
          <cell r="B16" t="str">
            <v>纪检监察事务</v>
          </cell>
          <cell r="C16">
            <v>1681.64</v>
          </cell>
          <cell r="D16">
            <v>1315.76</v>
          </cell>
          <cell r="E16">
            <v>365.88</v>
          </cell>
        </row>
        <row r="16">
          <cell r="H16">
            <v>1523.97</v>
          </cell>
          <cell r="I16">
            <v>1083.01</v>
          </cell>
          <cell r="J16">
            <v>419.56</v>
          </cell>
          <cell r="K16">
            <v>21.4</v>
          </cell>
        </row>
        <row r="17">
          <cell r="A17">
            <v>20113</v>
          </cell>
          <cell r="B17" t="str">
            <v>商贸事务</v>
          </cell>
          <cell r="C17">
            <v>642.23</v>
          </cell>
          <cell r="D17">
            <v>347.43</v>
          </cell>
          <cell r="E17">
            <v>294.8</v>
          </cell>
        </row>
        <row r="17">
          <cell r="H17">
            <v>1048.88</v>
          </cell>
          <cell r="I17">
            <v>704.88</v>
          </cell>
          <cell r="J17">
            <v>344</v>
          </cell>
        </row>
        <row r="18">
          <cell r="A18">
            <v>20114</v>
          </cell>
          <cell r="B18" t="str">
            <v>知识产权事务</v>
          </cell>
          <cell r="C18">
            <v>0.9</v>
          </cell>
        </row>
        <row r="18">
          <cell r="E18">
            <v>0.9</v>
          </cell>
        </row>
        <row r="18">
          <cell r="H18">
            <v>0.9</v>
          </cell>
          <cell r="I18">
            <v>0</v>
          </cell>
          <cell r="J18">
            <v>0.9</v>
          </cell>
        </row>
        <row r="19">
          <cell r="A19">
            <v>20123</v>
          </cell>
          <cell r="B19" t="str">
            <v>民族事务</v>
          </cell>
          <cell r="C19">
            <v>50</v>
          </cell>
        </row>
        <row r="19">
          <cell r="E19">
            <v>50</v>
          </cell>
        </row>
        <row r="19">
          <cell r="H19">
            <v>62.61</v>
          </cell>
          <cell r="I19">
            <v>0</v>
          </cell>
          <cell r="J19">
            <v>50</v>
          </cell>
          <cell r="K19">
            <v>12.61</v>
          </cell>
        </row>
        <row r="20">
          <cell r="A20">
            <v>20125</v>
          </cell>
          <cell r="B20" t="str">
            <v>港澳台事务</v>
          </cell>
          <cell r="C20">
            <v>29.28</v>
          </cell>
          <cell r="D20">
            <v>27.14</v>
          </cell>
          <cell r="E20">
            <v>2.14</v>
          </cell>
        </row>
        <row r="20">
          <cell r="H20">
            <v>26.35</v>
          </cell>
          <cell r="I20">
            <v>23.85</v>
          </cell>
          <cell r="J20">
            <v>2.5</v>
          </cell>
        </row>
        <row r="21">
          <cell r="A21">
            <v>20126</v>
          </cell>
          <cell r="B21" t="str">
            <v>档案事务</v>
          </cell>
          <cell r="C21">
            <v>266.07</v>
          </cell>
          <cell r="D21">
            <v>216.87</v>
          </cell>
          <cell r="E21">
            <v>49.2</v>
          </cell>
        </row>
        <row r="21">
          <cell r="H21">
            <v>242.78</v>
          </cell>
          <cell r="I21">
            <v>193.58</v>
          </cell>
          <cell r="J21">
            <v>49.2</v>
          </cell>
        </row>
        <row r="22">
          <cell r="A22">
            <v>20128</v>
          </cell>
          <cell r="B22" t="str">
            <v>民主党派及工商联事务</v>
          </cell>
          <cell r="C22">
            <v>90.66</v>
          </cell>
          <cell r="D22">
            <v>82.66</v>
          </cell>
          <cell r="E22">
            <v>8</v>
          </cell>
        </row>
        <row r="22">
          <cell r="H22">
            <v>63.3</v>
          </cell>
          <cell r="I22">
            <v>48.8</v>
          </cell>
          <cell r="J22">
            <v>14.5</v>
          </cell>
        </row>
        <row r="23">
          <cell r="A23">
            <v>20129</v>
          </cell>
          <cell r="B23" t="str">
            <v>群众团体事务</v>
          </cell>
          <cell r="C23">
            <v>624.03</v>
          </cell>
          <cell r="D23">
            <v>427.9</v>
          </cell>
          <cell r="E23">
            <v>196.13</v>
          </cell>
        </row>
        <row r="23">
          <cell r="H23">
            <v>584.75</v>
          </cell>
          <cell r="I23">
            <v>375.01</v>
          </cell>
          <cell r="J23">
            <v>186.65</v>
          </cell>
          <cell r="K23">
            <v>23.09</v>
          </cell>
        </row>
        <row r="24">
          <cell r="A24">
            <v>20131</v>
          </cell>
          <cell r="B24" t="str">
            <v>党委办公厅（室）及相关机构事务</v>
          </cell>
          <cell r="C24">
            <v>1942.2</v>
          </cell>
          <cell r="D24">
            <v>1108.42</v>
          </cell>
          <cell r="E24">
            <v>833.78</v>
          </cell>
        </row>
        <row r="24">
          <cell r="H24">
            <v>1183.83</v>
          </cell>
          <cell r="I24">
            <v>995.29</v>
          </cell>
          <cell r="J24">
            <v>188.54</v>
          </cell>
        </row>
        <row r="25">
          <cell r="A25">
            <v>20132</v>
          </cell>
          <cell r="B25" t="str">
            <v>组织事务</v>
          </cell>
          <cell r="C25">
            <v>3160.62</v>
          </cell>
          <cell r="D25">
            <v>504.4</v>
          </cell>
          <cell r="E25">
            <v>2656.22</v>
          </cell>
        </row>
        <row r="25">
          <cell r="H25">
            <v>2390.34</v>
          </cell>
          <cell r="I25">
            <v>420.37</v>
          </cell>
          <cell r="J25">
            <v>1840.65</v>
          </cell>
          <cell r="K25">
            <v>129.32</v>
          </cell>
        </row>
        <row r="26">
          <cell r="A26">
            <v>20133</v>
          </cell>
          <cell r="B26" t="str">
            <v>宣传事务</v>
          </cell>
          <cell r="C26">
            <v>858.54</v>
          </cell>
          <cell r="D26">
            <v>234.02</v>
          </cell>
          <cell r="E26">
            <v>624.52</v>
          </cell>
        </row>
        <row r="26">
          <cell r="H26">
            <v>754.04</v>
          </cell>
          <cell r="I26">
            <v>120.04</v>
          </cell>
          <cell r="J26">
            <v>634</v>
          </cell>
        </row>
        <row r="27">
          <cell r="A27">
            <v>20134</v>
          </cell>
          <cell r="B27" t="str">
            <v>统战事务</v>
          </cell>
          <cell r="C27">
            <v>265.59</v>
          </cell>
          <cell r="D27">
            <v>141.09</v>
          </cell>
          <cell r="E27">
            <v>124.5</v>
          </cell>
        </row>
        <row r="27">
          <cell r="H27">
            <v>246.46</v>
          </cell>
          <cell r="I27">
            <v>107.96</v>
          </cell>
          <cell r="J27">
            <v>133.5</v>
          </cell>
          <cell r="K27">
            <v>5</v>
          </cell>
        </row>
        <row r="28">
          <cell r="A28">
            <v>20136</v>
          </cell>
          <cell r="B28" t="str">
            <v>其他共产党事务支出</v>
          </cell>
          <cell r="C28">
            <v>2126.21</v>
          </cell>
          <cell r="D28">
            <v>742.95</v>
          </cell>
          <cell r="E28">
            <v>1383.26</v>
          </cell>
        </row>
        <row r="28">
          <cell r="H28">
            <v>2255.03</v>
          </cell>
          <cell r="I28">
            <v>722.29</v>
          </cell>
          <cell r="J28">
            <v>1512.74</v>
          </cell>
          <cell r="K28">
            <v>20</v>
          </cell>
        </row>
        <row r="29">
          <cell r="A29">
            <v>20138</v>
          </cell>
          <cell r="B29" t="str">
            <v>市场监督管理事务</v>
          </cell>
          <cell r="C29">
            <v>2257.87</v>
          </cell>
          <cell r="D29">
            <v>2051.23</v>
          </cell>
          <cell r="E29">
            <v>206.64</v>
          </cell>
        </row>
        <row r="29">
          <cell r="H29">
            <v>2170.37</v>
          </cell>
          <cell r="I29">
            <v>1815.97</v>
          </cell>
          <cell r="J29">
            <v>354.4</v>
          </cell>
        </row>
        <row r="30">
          <cell r="A30" t="str">
            <v>203类</v>
          </cell>
          <cell r="B30" t="str">
            <v>二、国防支出</v>
          </cell>
          <cell r="C30">
            <v>559.32</v>
          </cell>
          <cell r="D30">
            <v>118.36</v>
          </cell>
          <cell r="E30">
            <v>386.96</v>
          </cell>
          <cell r="F30">
            <v>0</v>
          </cell>
          <cell r="G30">
            <v>54</v>
          </cell>
          <cell r="H30">
            <v>444.34</v>
          </cell>
          <cell r="I30">
            <v>95.38</v>
          </cell>
          <cell r="J30">
            <v>298.96</v>
          </cell>
          <cell r="K30">
            <v>0</v>
          </cell>
          <cell r="L30">
            <v>50</v>
          </cell>
        </row>
        <row r="31">
          <cell r="A31">
            <v>20306</v>
          </cell>
          <cell r="B31" t="str">
            <v>国防动员</v>
          </cell>
          <cell r="C31">
            <v>559.32</v>
          </cell>
          <cell r="D31">
            <v>118.36</v>
          </cell>
          <cell r="E31">
            <v>386.96</v>
          </cell>
        </row>
        <row r="31">
          <cell r="G31">
            <v>54</v>
          </cell>
          <cell r="H31">
            <v>444.34</v>
          </cell>
          <cell r="I31">
            <v>95.38</v>
          </cell>
          <cell r="J31">
            <v>298.96</v>
          </cell>
        </row>
        <row r="31">
          <cell r="L31">
            <v>50</v>
          </cell>
        </row>
        <row r="32">
          <cell r="A32" t="str">
            <v>204类</v>
          </cell>
          <cell r="B32" t="str">
            <v>三、公共安全支出</v>
          </cell>
          <cell r="C32">
            <v>5283.48</v>
          </cell>
          <cell r="D32">
            <v>1367.21</v>
          </cell>
          <cell r="E32">
            <v>3916.27</v>
          </cell>
          <cell r="F32">
            <v>0</v>
          </cell>
          <cell r="G32">
            <v>0</v>
          </cell>
          <cell r="H32">
            <v>5041.66</v>
          </cell>
          <cell r="I32">
            <v>1080.18</v>
          </cell>
          <cell r="J32">
            <v>3897.07</v>
          </cell>
          <cell r="K32">
            <v>64.41</v>
          </cell>
          <cell r="L32">
            <v>0</v>
          </cell>
        </row>
        <row r="33">
          <cell r="A33">
            <v>20401</v>
          </cell>
          <cell r="B33" t="str">
            <v>武装警察部队</v>
          </cell>
          <cell r="C33">
            <v>28</v>
          </cell>
        </row>
        <row r="33">
          <cell r="E33">
            <v>28</v>
          </cell>
        </row>
        <row r="33">
          <cell r="H33">
            <v>28</v>
          </cell>
          <cell r="I33">
            <v>0</v>
          </cell>
          <cell r="J33">
            <v>28</v>
          </cell>
        </row>
        <row r="34">
          <cell r="A34">
            <v>20402</v>
          </cell>
          <cell r="B34" t="str">
            <v>公安</v>
          </cell>
          <cell r="C34">
            <v>3783.99</v>
          </cell>
          <cell r="D34">
            <v>181.06</v>
          </cell>
          <cell r="E34">
            <v>3602.93</v>
          </cell>
        </row>
        <row r="34">
          <cell r="H34">
            <v>2854.32</v>
          </cell>
          <cell r="I34">
            <v>0</v>
          </cell>
          <cell r="J34">
            <v>2854.32</v>
          </cell>
        </row>
        <row r="35">
          <cell r="A35">
            <v>20404</v>
          </cell>
          <cell r="B35" t="str">
            <v>检察</v>
          </cell>
          <cell r="C35">
            <v>16.1</v>
          </cell>
        </row>
        <row r="35">
          <cell r="E35">
            <v>16.1</v>
          </cell>
        </row>
        <row r="35">
          <cell r="H35">
            <v>129</v>
          </cell>
          <cell r="I35">
            <v>0</v>
          </cell>
          <cell r="J35">
            <v>129</v>
          </cell>
        </row>
        <row r="36">
          <cell r="A36">
            <v>20405</v>
          </cell>
          <cell r="B36" t="str">
            <v>法院</v>
          </cell>
          <cell r="C36">
            <v>0</v>
          </cell>
        </row>
        <row r="36">
          <cell r="H36">
            <v>607.18</v>
          </cell>
          <cell r="I36">
            <v>0</v>
          </cell>
          <cell r="J36">
            <v>607.18</v>
          </cell>
        </row>
        <row r="37">
          <cell r="A37">
            <v>20406</v>
          </cell>
          <cell r="B37" t="str">
            <v>司法</v>
          </cell>
          <cell r="C37">
            <v>1455.39</v>
          </cell>
          <cell r="D37">
            <v>1186.15</v>
          </cell>
          <cell r="E37">
            <v>269.24</v>
          </cell>
        </row>
        <row r="37">
          <cell r="H37">
            <v>1423.16</v>
          </cell>
          <cell r="I37">
            <v>1080.18</v>
          </cell>
          <cell r="J37">
            <v>278.57</v>
          </cell>
          <cell r="K37">
            <v>64.41</v>
          </cell>
        </row>
        <row r="38">
          <cell r="A38" t="str">
            <v>205类</v>
          </cell>
          <cell r="B38" t="str">
            <v>四、教育支出</v>
          </cell>
          <cell r="C38">
            <v>66648.686</v>
          </cell>
          <cell r="D38">
            <v>42616.01</v>
          </cell>
          <cell r="E38">
            <v>14714.596</v>
          </cell>
          <cell r="F38">
            <v>0</v>
          </cell>
          <cell r="G38">
            <v>9318.08</v>
          </cell>
          <cell r="H38">
            <v>71479.94</v>
          </cell>
          <cell r="I38">
            <v>45349.72</v>
          </cell>
          <cell r="J38">
            <v>13820.98</v>
          </cell>
          <cell r="K38">
            <v>1774.13</v>
          </cell>
          <cell r="L38">
            <v>10535.11</v>
          </cell>
        </row>
        <row r="39">
          <cell r="A39">
            <v>20501</v>
          </cell>
          <cell r="B39" t="str">
            <v>教育管理事务</v>
          </cell>
          <cell r="C39">
            <v>472.53</v>
          </cell>
          <cell r="D39">
            <v>153.17</v>
          </cell>
          <cell r="E39">
            <v>30</v>
          </cell>
        </row>
        <row r="39">
          <cell r="G39">
            <v>289.36</v>
          </cell>
          <cell r="H39">
            <v>150.74</v>
          </cell>
          <cell r="I39">
            <v>130.74</v>
          </cell>
          <cell r="J39">
            <v>20</v>
          </cell>
        </row>
        <row r="40">
          <cell r="A40">
            <v>20502</v>
          </cell>
          <cell r="B40" t="str">
            <v>普通教育</v>
          </cell>
          <cell r="C40">
            <v>59234.106</v>
          </cell>
          <cell r="D40">
            <v>41337.91</v>
          </cell>
          <cell r="E40">
            <v>8893.476</v>
          </cell>
        </row>
        <row r="40">
          <cell r="G40">
            <v>9002.72</v>
          </cell>
          <cell r="H40">
            <v>65485.33</v>
          </cell>
          <cell r="I40">
            <v>44330.14</v>
          </cell>
          <cell r="J40">
            <v>8902.48</v>
          </cell>
          <cell r="K40">
            <v>1767.6</v>
          </cell>
          <cell r="L40">
            <v>10485.11</v>
          </cell>
        </row>
        <row r="41">
          <cell r="A41">
            <v>20507</v>
          </cell>
          <cell r="B41" t="str">
            <v>特殊教育</v>
          </cell>
          <cell r="C41">
            <v>232.91</v>
          </cell>
          <cell r="D41">
            <v>206.91</v>
          </cell>
        </row>
        <row r="41">
          <cell r="G41">
            <v>26</v>
          </cell>
          <cell r="H41">
            <v>203.66</v>
          </cell>
          <cell r="I41">
            <v>147.13</v>
          </cell>
        </row>
        <row r="41">
          <cell r="K41">
            <v>6.53</v>
          </cell>
          <cell r="L41">
            <v>50</v>
          </cell>
        </row>
        <row r="42">
          <cell r="A42">
            <v>20508</v>
          </cell>
          <cell r="B42" t="str">
            <v>进修及培训</v>
          </cell>
          <cell r="C42">
            <v>346.06</v>
          </cell>
          <cell r="D42">
            <v>306.78</v>
          </cell>
          <cell r="E42">
            <v>39.28</v>
          </cell>
        </row>
        <row r="42">
          <cell r="H42">
            <v>301.4</v>
          </cell>
          <cell r="I42">
            <v>265.9</v>
          </cell>
          <cell r="J42">
            <v>35.5</v>
          </cell>
        </row>
        <row r="43">
          <cell r="A43">
            <v>20509</v>
          </cell>
          <cell r="B43" t="str">
            <v>教育费附加安排的支出</v>
          </cell>
          <cell r="C43">
            <v>4166</v>
          </cell>
        </row>
        <row r="43">
          <cell r="E43">
            <v>4166</v>
          </cell>
        </row>
        <row r="43">
          <cell r="H43">
            <v>3000</v>
          </cell>
          <cell r="I43">
            <v>0</v>
          </cell>
          <cell r="J43">
            <v>3000</v>
          </cell>
        </row>
        <row r="44">
          <cell r="A44">
            <v>20599</v>
          </cell>
          <cell r="B44" t="str">
            <v>其他教育支出</v>
          </cell>
          <cell r="C44">
            <v>2197.08</v>
          </cell>
          <cell r="D44">
            <v>611.24</v>
          </cell>
          <cell r="E44">
            <v>1585.84</v>
          </cell>
        </row>
        <row r="44">
          <cell r="H44">
            <v>2338.81</v>
          </cell>
          <cell r="I44">
            <v>475.81</v>
          </cell>
          <cell r="J44">
            <v>1863</v>
          </cell>
        </row>
        <row r="45">
          <cell r="A45" t="str">
            <v>206类</v>
          </cell>
          <cell r="B45" t="str">
            <v>五、科学技术支出</v>
          </cell>
          <cell r="C45">
            <v>594.12</v>
          </cell>
          <cell r="D45">
            <v>357.92</v>
          </cell>
          <cell r="E45">
            <v>236.2</v>
          </cell>
          <cell r="F45">
            <v>0</v>
          </cell>
          <cell r="G45">
            <v>0</v>
          </cell>
          <cell r="H45">
            <v>2063.98</v>
          </cell>
          <cell r="I45">
            <v>312.4</v>
          </cell>
          <cell r="J45">
            <v>1735</v>
          </cell>
          <cell r="K45">
            <v>16.58</v>
          </cell>
          <cell r="L45">
            <v>0</v>
          </cell>
        </row>
        <row r="46">
          <cell r="A46">
            <v>20601</v>
          </cell>
          <cell r="B46" t="str">
            <v>科学技术管理事务</v>
          </cell>
          <cell r="C46">
            <v>108.05</v>
          </cell>
          <cell r="D46">
            <v>103.05</v>
          </cell>
          <cell r="E46">
            <v>5</v>
          </cell>
        </row>
        <row r="46">
          <cell r="H46">
            <v>110.29</v>
          </cell>
          <cell r="I46">
            <v>105.29</v>
          </cell>
          <cell r="J46">
            <v>5</v>
          </cell>
        </row>
        <row r="47">
          <cell r="A47">
            <v>20603</v>
          </cell>
          <cell r="B47" t="str">
            <v>应用研究</v>
          </cell>
        </row>
        <row r="47">
          <cell r="H47">
            <v>10</v>
          </cell>
        </row>
        <row r="47">
          <cell r="K47">
            <v>10</v>
          </cell>
        </row>
        <row r="48">
          <cell r="A48">
            <v>20604</v>
          </cell>
          <cell r="B48" t="str">
            <v>技术研究与开发</v>
          </cell>
          <cell r="C48">
            <v>366.17</v>
          </cell>
          <cell r="D48">
            <v>176.17</v>
          </cell>
          <cell r="E48">
            <v>190</v>
          </cell>
        </row>
        <row r="48">
          <cell r="H48">
            <v>1820.96</v>
          </cell>
          <cell r="I48">
            <v>130.96</v>
          </cell>
          <cell r="J48">
            <v>1690</v>
          </cell>
        </row>
        <row r="49">
          <cell r="A49">
            <v>20607</v>
          </cell>
          <cell r="B49" t="str">
            <v>科学技术普及</v>
          </cell>
          <cell r="C49">
            <v>119.9</v>
          </cell>
          <cell r="D49">
            <v>78.7</v>
          </cell>
          <cell r="E49">
            <v>41.2</v>
          </cell>
        </row>
        <row r="49">
          <cell r="H49">
            <v>122.73</v>
          </cell>
          <cell r="I49">
            <v>76.15</v>
          </cell>
          <cell r="J49">
            <v>40</v>
          </cell>
          <cell r="K49">
            <v>6.58</v>
          </cell>
        </row>
        <row r="50">
          <cell r="A50" t="str">
            <v>207类</v>
          </cell>
          <cell r="B50" t="str">
            <v>六、文化旅游体育与传媒支出</v>
          </cell>
          <cell r="C50">
            <v>3166.62</v>
          </cell>
          <cell r="D50">
            <v>1528.21</v>
          </cell>
          <cell r="E50">
            <v>1558.41</v>
          </cell>
          <cell r="F50">
            <v>0</v>
          </cell>
          <cell r="G50">
            <v>80</v>
          </cell>
          <cell r="H50">
            <v>3719.2</v>
          </cell>
          <cell r="I50">
            <v>1253.82</v>
          </cell>
          <cell r="J50">
            <v>2062.84</v>
          </cell>
          <cell r="K50">
            <v>102.54</v>
          </cell>
          <cell r="L50">
            <v>300</v>
          </cell>
        </row>
        <row r="51">
          <cell r="A51">
            <v>20701</v>
          </cell>
          <cell r="B51" t="str">
            <v>文化和旅游</v>
          </cell>
          <cell r="C51">
            <v>2150.74</v>
          </cell>
          <cell r="D51">
            <v>832.59</v>
          </cell>
          <cell r="E51">
            <v>1238.15</v>
          </cell>
        </row>
        <row r="51">
          <cell r="G51">
            <v>80</v>
          </cell>
          <cell r="H51">
            <v>1883.03</v>
          </cell>
          <cell r="I51">
            <v>640.49</v>
          </cell>
          <cell r="J51">
            <v>1126</v>
          </cell>
          <cell r="K51">
            <v>52.54</v>
          </cell>
          <cell r="L51">
            <v>64</v>
          </cell>
        </row>
        <row r="52">
          <cell r="A52">
            <v>20702</v>
          </cell>
          <cell r="B52" t="str">
            <v>文物</v>
          </cell>
          <cell r="C52">
            <v>69.05</v>
          </cell>
          <cell r="D52">
            <v>65.05</v>
          </cell>
          <cell r="E52">
            <v>4</v>
          </cell>
        </row>
        <row r="52">
          <cell r="H52">
            <v>92.81</v>
          </cell>
          <cell r="I52">
            <v>48.81</v>
          </cell>
          <cell r="J52">
            <v>4</v>
          </cell>
          <cell r="K52">
            <v>40</v>
          </cell>
        </row>
        <row r="53">
          <cell r="A53">
            <v>20703</v>
          </cell>
          <cell r="B53" t="str">
            <v>体育</v>
          </cell>
          <cell r="C53">
            <v>287.09</v>
          </cell>
          <cell r="D53">
            <v>138.83</v>
          </cell>
          <cell r="E53">
            <v>148.26</v>
          </cell>
        </row>
        <row r="53">
          <cell r="H53">
            <v>868.47</v>
          </cell>
          <cell r="I53">
            <v>104.15</v>
          </cell>
          <cell r="J53">
            <v>764.32</v>
          </cell>
        </row>
        <row r="54">
          <cell r="A54">
            <v>20706</v>
          </cell>
          <cell r="B54" t="str">
            <v>新闻出版电影</v>
          </cell>
          <cell r="C54">
            <v>659.74</v>
          </cell>
          <cell r="D54">
            <v>491.74</v>
          </cell>
          <cell r="E54">
            <v>168</v>
          </cell>
        </row>
        <row r="54">
          <cell r="H54">
            <v>594.21</v>
          </cell>
          <cell r="I54">
            <v>430.69</v>
          </cell>
          <cell r="J54">
            <v>163.52</v>
          </cell>
        </row>
        <row r="55">
          <cell r="A55">
            <v>20708</v>
          </cell>
          <cell r="B55" t="str">
            <v>广播电视</v>
          </cell>
        </row>
        <row r="55">
          <cell r="H55">
            <v>34.68</v>
          </cell>
          <cell r="I55">
            <v>29.68</v>
          </cell>
          <cell r="J55">
            <v>5</v>
          </cell>
        </row>
        <row r="56">
          <cell r="A56">
            <v>20799</v>
          </cell>
          <cell r="B56" t="str">
            <v>其他文化旅游体育与传媒支出</v>
          </cell>
          <cell r="C56">
            <v>0</v>
          </cell>
        </row>
        <row r="56">
          <cell r="H56">
            <v>246</v>
          </cell>
          <cell r="I56">
            <v>0</v>
          </cell>
        </row>
        <row r="56">
          <cell r="K56">
            <v>10</v>
          </cell>
          <cell r="L56">
            <v>236</v>
          </cell>
        </row>
        <row r="57">
          <cell r="A57" t="str">
            <v>208类</v>
          </cell>
          <cell r="B57" t="str">
            <v>七、社会保障和就业支出</v>
          </cell>
          <cell r="C57">
            <v>48644.28754</v>
          </cell>
          <cell r="D57">
            <v>21107.44</v>
          </cell>
          <cell r="E57">
            <v>11890.33754</v>
          </cell>
          <cell r="F57">
            <v>0</v>
          </cell>
          <cell r="G57">
            <v>15646.51</v>
          </cell>
          <cell r="H57">
            <v>48800.55</v>
          </cell>
          <cell r="I57">
            <v>20943.25</v>
          </cell>
          <cell r="J57">
            <v>10153.14</v>
          </cell>
          <cell r="K57">
            <v>612.39</v>
          </cell>
          <cell r="L57">
            <v>17091.77</v>
          </cell>
        </row>
        <row r="58">
          <cell r="A58">
            <v>20801</v>
          </cell>
          <cell r="B58" t="str">
            <v>人力资源和社会保障管理事务</v>
          </cell>
          <cell r="C58">
            <v>2627.43074</v>
          </cell>
          <cell r="D58">
            <v>2010.72</v>
          </cell>
          <cell r="E58">
            <v>553.71074</v>
          </cell>
        </row>
        <row r="58">
          <cell r="G58">
            <v>63</v>
          </cell>
          <cell r="H58">
            <v>2248.66</v>
          </cell>
          <cell r="I58">
            <v>1672.09</v>
          </cell>
          <cell r="J58">
            <v>452.68</v>
          </cell>
          <cell r="K58">
            <v>68.89</v>
          </cell>
          <cell r="L58">
            <v>55</v>
          </cell>
        </row>
        <row r="59">
          <cell r="A59">
            <v>20802</v>
          </cell>
          <cell r="B59" t="str">
            <v>民政管理事务</v>
          </cell>
          <cell r="C59">
            <v>875.84</v>
          </cell>
          <cell r="D59">
            <v>312.14</v>
          </cell>
          <cell r="E59">
            <v>563.7</v>
          </cell>
        </row>
        <row r="59">
          <cell r="H59">
            <v>1340.48</v>
          </cell>
          <cell r="I59">
            <v>311.36</v>
          </cell>
          <cell r="J59">
            <v>624.7</v>
          </cell>
          <cell r="K59">
            <v>404.42</v>
          </cell>
        </row>
        <row r="60">
          <cell r="A60">
            <v>20805</v>
          </cell>
          <cell r="B60" t="str">
            <v>行政事业单位养老支出</v>
          </cell>
          <cell r="C60">
            <v>21494.56</v>
          </cell>
          <cell r="D60">
            <v>18401.21</v>
          </cell>
          <cell r="E60">
            <v>1230.68</v>
          </cell>
        </row>
        <row r="60">
          <cell r="G60">
            <v>1862.67</v>
          </cell>
          <cell r="H60">
            <v>25246.55</v>
          </cell>
          <cell r="I60">
            <v>18421.82</v>
          </cell>
          <cell r="J60">
            <v>4632.73</v>
          </cell>
        </row>
        <row r="60">
          <cell r="L60">
            <v>2192</v>
          </cell>
        </row>
        <row r="61">
          <cell r="A61">
            <v>20807</v>
          </cell>
          <cell r="B61" t="str">
            <v>就业补助</v>
          </cell>
          <cell r="C61">
            <v>1132.5</v>
          </cell>
        </row>
        <row r="61">
          <cell r="E61">
            <v>32.5</v>
          </cell>
        </row>
        <row r="61">
          <cell r="G61">
            <v>1100</v>
          </cell>
          <cell r="H61">
            <v>1031.74</v>
          </cell>
          <cell r="I61">
            <v>0</v>
          </cell>
        </row>
        <row r="61">
          <cell r="K61">
            <v>41.74</v>
          </cell>
          <cell r="L61">
            <v>990</v>
          </cell>
        </row>
        <row r="62">
          <cell r="A62">
            <v>20808</v>
          </cell>
          <cell r="B62" t="str">
            <v>抚恤</v>
          </cell>
          <cell r="C62">
            <v>2452.69</v>
          </cell>
        </row>
        <row r="62">
          <cell r="E62">
            <v>783</v>
          </cell>
        </row>
        <row r="62">
          <cell r="G62">
            <v>1669.69</v>
          </cell>
          <cell r="H62">
            <v>1337.53</v>
          </cell>
          <cell r="I62">
            <v>0</v>
          </cell>
          <cell r="J62">
            <v>37</v>
          </cell>
          <cell r="K62">
            <v>3.06</v>
          </cell>
          <cell r="L62">
            <v>1297.47</v>
          </cell>
        </row>
        <row r="63">
          <cell r="A63">
            <v>20809</v>
          </cell>
          <cell r="B63" t="str">
            <v>退役安置</v>
          </cell>
          <cell r="C63">
            <v>95</v>
          </cell>
        </row>
        <row r="63">
          <cell r="E63">
            <v>95</v>
          </cell>
        </row>
        <row r="63">
          <cell r="H63">
            <v>121.86</v>
          </cell>
          <cell r="I63">
            <v>0</v>
          </cell>
          <cell r="J63">
            <v>60</v>
          </cell>
          <cell r="K63">
            <v>45.83</v>
          </cell>
          <cell r="L63">
            <v>16.03</v>
          </cell>
        </row>
        <row r="64">
          <cell r="A64">
            <v>20810</v>
          </cell>
          <cell r="B64" t="str">
            <v>社会福利</v>
          </cell>
          <cell r="C64">
            <v>1242.85</v>
          </cell>
          <cell r="D64">
            <v>91.98</v>
          </cell>
          <cell r="E64">
            <v>1150.87</v>
          </cell>
        </row>
        <row r="64">
          <cell r="H64">
            <v>1931.4</v>
          </cell>
          <cell r="I64">
            <v>169.17</v>
          </cell>
          <cell r="J64">
            <v>1753.23</v>
          </cell>
          <cell r="K64">
            <v>9</v>
          </cell>
        </row>
        <row r="65">
          <cell r="A65">
            <v>20811</v>
          </cell>
          <cell r="B65" t="str">
            <v>残疾人事业</v>
          </cell>
          <cell r="C65">
            <v>452.8468</v>
          </cell>
          <cell r="D65">
            <v>88.43</v>
          </cell>
          <cell r="E65">
            <v>364.4168</v>
          </cell>
        </row>
        <row r="65">
          <cell r="H65">
            <v>884.41</v>
          </cell>
          <cell r="I65">
            <v>79.28</v>
          </cell>
          <cell r="J65">
            <v>754.47</v>
          </cell>
          <cell r="K65">
            <v>9.37</v>
          </cell>
          <cell r="L65">
            <v>41.29</v>
          </cell>
        </row>
        <row r="66">
          <cell r="A66">
            <v>20816</v>
          </cell>
          <cell r="B66" t="str">
            <v>红十字事业</v>
          </cell>
          <cell r="C66">
            <v>39.67</v>
          </cell>
          <cell r="D66">
            <v>39.67</v>
          </cell>
        </row>
        <row r="66">
          <cell r="H66">
            <v>35.08</v>
          </cell>
          <cell r="I66">
            <v>35.08</v>
          </cell>
        </row>
        <row r="67">
          <cell r="A67">
            <v>20819</v>
          </cell>
          <cell r="B67" t="str">
            <v>最低生活保障</v>
          </cell>
          <cell r="C67">
            <v>4479</v>
          </cell>
        </row>
        <row r="67">
          <cell r="E67">
            <v>200</v>
          </cell>
        </row>
        <row r="67">
          <cell r="G67">
            <v>4279</v>
          </cell>
          <cell r="H67">
            <v>6152.76</v>
          </cell>
          <cell r="I67">
            <v>0</v>
          </cell>
          <cell r="J67">
            <v>60</v>
          </cell>
          <cell r="K67">
            <v>17.66</v>
          </cell>
          <cell r="L67">
            <v>6075.1</v>
          </cell>
        </row>
        <row r="68">
          <cell r="A68">
            <v>20820</v>
          </cell>
          <cell r="B68" t="str">
            <v>临时救助</v>
          </cell>
          <cell r="C68">
            <v>55</v>
          </cell>
        </row>
        <row r="68">
          <cell r="E68">
            <v>55</v>
          </cell>
        </row>
        <row r="68">
          <cell r="H68">
            <v>50.84</v>
          </cell>
          <cell r="I68">
            <v>0</v>
          </cell>
          <cell r="J68">
            <v>50</v>
          </cell>
          <cell r="K68">
            <v>0.84</v>
          </cell>
        </row>
        <row r="69">
          <cell r="A69">
            <v>20821</v>
          </cell>
          <cell r="B69" t="str">
            <v>特困人员救助供养</v>
          </cell>
          <cell r="C69">
            <v>180</v>
          </cell>
        </row>
        <row r="69">
          <cell r="E69">
            <v>180</v>
          </cell>
        </row>
        <row r="69">
          <cell r="H69">
            <v>175</v>
          </cell>
          <cell r="I69">
            <v>0</v>
          </cell>
          <cell r="J69">
            <v>175</v>
          </cell>
        </row>
        <row r="70">
          <cell r="A70">
            <v>20825</v>
          </cell>
          <cell r="B70" t="str">
            <v>其他生活救助</v>
          </cell>
          <cell r="C70">
            <v>5</v>
          </cell>
        </row>
        <row r="70">
          <cell r="E70">
            <v>5</v>
          </cell>
        </row>
        <row r="70">
          <cell r="H70">
            <v>5.75</v>
          </cell>
          <cell r="I70">
            <v>0</v>
          </cell>
          <cell r="J70">
            <v>5</v>
          </cell>
          <cell r="K70">
            <v>0.75</v>
          </cell>
        </row>
        <row r="71">
          <cell r="A71">
            <v>20826</v>
          </cell>
          <cell r="B71" t="str">
            <v>财政对基本养老保险基金的补助</v>
          </cell>
          <cell r="C71">
            <v>11854.07</v>
          </cell>
        </row>
        <row r="71">
          <cell r="E71">
            <v>6461.07</v>
          </cell>
        </row>
        <row r="71">
          <cell r="G71">
            <v>5393</v>
          </cell>
          <cell r="H71">
            <v>6349</v>
          </cell>
          <cell r="I71">
            <v>0</v>
          </cell>
        </row>
        <row r="71">
          <cell r="L71">
            <v>6349</v>
          </cell>
        </row>
        <row r="72">
          <cell r="A72">
            <v>20828</v>
          </cell>
          <cell r="B72" t="str">
            <v>退役军人管理事务</v>
          </cell>
          <cell r="C72">
            <v>355.29</v>
          </cell>
          <cell r="D72">
            <v>163.29</v>
          </cell>
          <cell r="E72">
            <v>192</v>
          </cell>
        </row>
        <row r="72">
          <cell r="H72">
            <v>1176.45</v>
          </cell>
          <cell r="I72">
            <v>254.45</v>
          </cell>
          <cell r="J72">
            <v>922</v>
          </cell>
        </row>
        <row r="73">
          <cell r="A73">
            <v>20830</v>
          </cell>
          <cell r="B73" t="str">
            <v>财政代缴社会保险费支出</v>
          </cell>
          <cell r="C73">
            <v>1302.54</v>
          </cell>
        </row>
        <row r="73">
          <cell r="E73">
            <v>23.39</v>
          </cell>
        </row>
        <row r="73">
          <cell r="G73">
            <v>1279.15</v>
          </cell>
          <cell r="H73">
            <v>657.04</v>
          </cell>
          <cell r="I73">
            <v>0</v>
          </cell>
          <cell r="J73">
            <v>570.33</v>
          </cell>
          <cell r="K73">
            <v>10.83</v>
          </cell>
          <cell r="L73">
            <v>75.88</v>
          </cell>
        </row>
        <row r="74">
          <cell r="A74">
            <v>20899</v>
          </cell>
          <cell r="B74" t="str">
            <v>其他社会保障和就业支出</v>
          </cell>
          <cell r="C74">
            <v>88.193</v>
          </cell>
        </row>
        <row r="74">
          <cell r="E74">
            <v>88.193</v>
          </cell>
        </row>
        <row r="74">
          <cell r="H74">
            <v>56</v>
          </cell>
          <cell r="I74">
            <v>0</v>
          </cell>
          <cell r="J74">
            <v>56</v>
          </cell>
        </row>
        <row r="75">
          <cell r="A75" t="str">
            <v>210类</v>
          </cell>
          <cell r="B75" t="str">
            <v>八、卫生健康支出</v>
          </cell>
          <cell r="C75">
            <v>44273.406</v>
          </cell>
          <cell r="D75">
            <v>11268.69</v>
          </cell>
          <cell r="E75">
            <v>8784.836</v>
          </cell>
          <cell r="F75">
            <v>0</v>
          </cell>
          <cell r="G75">
            <v>24219.88</v>
          </cell>
          <cell r="H75">
            <v>26994.285</v>
          </cell>
          <cell r="I75">
            <v>10463.54</v>
          </cell>
          <cell r="J75">
            <v>8390.055</v>
          </cell>
          <cell r="K75">
            <v>1657.27</v>
          </cell>
          <cell r="L75">
            <v>6483.42</v>
          </cell>
        </row>
        <row r="76">
          <cell r="A76">
            <v>21001</v>
          </cell>
          <cell r="B76" t="str">
            <v>卫生健康管理事务</v>
          </cell>
          <cell r="C76">
            <v>1316.92</v>
          </cell>
          <cell r="D76">
            <v>501.53</v>
          </cell>
          <cell r="E76">
            <v>323</v>
          </cell>
        </row>
        <row r="76">
          <cell r="G76">
            <v>492.39</v>
          </cell>
          <cell r="H76">
            <v>256.86</v>
          </cell>
          <cell r="I76">
            <v>228.86</v>
          </cell>
          <cell r="J76">
            <v>28</v>
          </cell>
        </row>
        <row r="77">
          <cell r="A77">
            <v>21002</v>
          </cell>
          <cell r="B77" t="str">
            <v>公立医院</v>
          </cell>
          <cell r="C77">
            <v>1218.78</v>
          </cell>
          <cell r="D77">
            <v>1067.15</v>
          </cell>
          <cell r="E77">
            <v>75.62</v>
          </cell>
        </row>
        <row r="77">
          <cell r="G77">
            <v>76.01</v>
          </cell>
          <cell r="H77">
            <v>2275.63</v>
          </cell>
          <cell r="I77">
            <v>780.86</v>
          </cell>
          <cell r="J77">
            <v>695.62</v>
          </cell>
          <cell r="K77">
            <v>45</v>
          </cell>
          <cell r="L77">
            <v>754.15</v>
          </cell>
        </row>
        <row r="78">
          <cell r="A78">
            <v>21003</v>
          </cell>
          <cell r="B78" t="str">
            <v>基层医疗卫生机构</v>
          </cell>
          <cell r="C78">
            <v>3481.47</v>
          </cell>
          <cell r="D78">
            <v>2661.66</v>
          </cell>
          <cell r="E78">
            <v>27.61</v>
          </cell>
        </row>
        <row r="78">
          <cell r="G78">
            <v>792.2</v>
          </cell>
          <cell r="H78">
            <v>3883.58</v>
          </cell>
          <cell r="I78">
            <v>2746.37</v>
          </cell>
          <cell r="J78">
            <v>449.27</v>
          </cell>
          <cell r="K78">
            <v>57.76</v>
          </cell>
          <cell r="L78">
            <v>630.18</v>
          </cell>
        </row>
        <row r="79">
          <cell r="A79">
            <v>21004</v>
          </cell>
          <cell r="B79" t="str">
            <v>公共卫生</v>
          </cell>
          <cell r="C79">
            <v>9085.95</v>
          </cell>
          <cell r="D79">
            <v>1215.95</v>
          </cell>
          <cell r="E79">
            <v>3791.59</v>
          </cell>
        </row>
        <row r="79">
          <cell r="G79">
            <v>4078.41</v>
          </cell>
          <cell r="H79">
            <v>9029.585</v>
          </cell>
          <cell r="I79">
            <v>1241.52</v>
          </cell>
          <cell r="J79">
            <v>2740.995</v>
          </cell>
          <cell r="K79">
            <v>1396.21</v>
          </cell>
          <cell r="L79">
            <v>3650.86</v>
          </cell>
        </row>
        <row r="80">
          <cell r="A80">
            <v>21006</v>
          </cell>
          <cell r="B80" t="str">
            <v>中医药</v>
          </cell>
          <cell r="C80">
            <v>0</v>
          </cell>
        </row>
        <row r="80">
          <cell r="H80">
            <v>10</v>
          </cell>
          <cell r="I80">
            <v>0</v>
          </cell>
        </row>
        <row r="80">
          <cell r="L80">
            <v>10</v>
          </cell>
        </row>
        <row r="81">
          <cell r="A81">
            <v>21007</v>
          </cell>
          <cell r="B81" t="str">
            <v>计划生育事务</v>
          </cell>
          <cell r="C81">
            <v>2821.986</v>
          </cell>
          <cell r="D81">
            <v>968.89</v>
          </cell>
          <cell r="E81">
            <v>1071.696</v>
          </cell>
        </row>
        <row r="81">
          <cell r="G81">
            <v>781.4</v>
          </cell>
          <cell r="H81">
            <v>2424.72</v>
          </cell>
          <cell r="I81">
            <v>807.64</v>
          </cell>
          <cell r="J81">
            <v>1138.5</v>
          </cell>
          <cell r="K81">
            <v>5.58</v>
          </cell>
          <cell r="L81">
            <v>473</v>
          </cell>
        </row>
        <row r="82">
          <cell r="A82">
            <v>21011</v>
          </cell>
          <cell r="B82" t="str">
            <v>行政事业单位医疗</v>
          </cell>
          <cell r="C82">
            <v>5227.34</v>
          </cell>
          <cell r="D82">
            <v>4477.34</v>
          </cell>
          <cell r="E82">
            <v>750</v>
          </cell>
        </row>
        <row r="82">
          <cell r="H82">
            <v>5907.03</v>
          </cell>
          <cell r="I82">
            <v>4307.03</v>
          </cell>
          <cell r="J82">
            <v>1600</v>
          </cell>
        </row>
        <row r="83">
          <cell r="A83">
            <v>21012</v>
          </cell>
          <cell r="B83" t="str">
            <v>财政对基本医疗保险基金的补助</v>
          </cell>
          <cell r="C83">
            <v>18514.79</v>
          </cell>
        </row>
        <row r="83">
          <cell r="E83">
            <v>1357.32</v>
          </cell>
        </row>
        <row r="83">
          <cell r="G83">
            <v>17157.47</v>
          </cell>
          <cell r="H83">
            <v>584.67</v>
          </cell>
          <cell r="I83">
            <v>0</v>
          </cell>
          <cell r="J83">
            <v>584.67</v>
          </cell>
        </row>
        <row r="84">
          <cell r="A84">
            <v>21013</v>
          </cell>
          <cell r="B84" t="str">
            <v>医疗救助</v>
          </cell>
          <cell r="C84">
            <v>2127</v>
          </cell>
        </row>
        <row r="84">
          <cell r="E84">
            <v>1300</v>
          </cell>
        </row>
        <row r="84">
          <cell r="G84">
            <v>827</v>
          </cell>
          <cell r="H84">
            <v>1631</v>
          </cell>
          <cell r="I84">
            <v>0</v>
          </cell>
          <cell r="J84">
            <v>700</v>
          </cell>
        </row>
        <row r="84">
          <cell r="L84">
            <v>931</v>
          </cell>
        </row>
        <row r="85">
          <cell r="A85">
            <v>21014</v>
          </cell>
          <cell r="B85" t="str">
            <v>优抚对象医疗</v>
          </cell>
          <cell r="C85">
            <v>0</v>
          </cell>
        </row>
        <row r="85">
          <cell r="H85">
            <v>99.23</v>
          </cell>
          <cell r="I85">
            <v>0</v>
          </cell>
          <cell r="J85">
            <v>65</v>
          </cell>
        </row>
        <row r="85">
          <cell r="L85">
            <v>34.23</v>
          </cell>
        </row>
        <row r="86">
          <cell r="A86">
            <v>21015</v>
          </cell>
          <cell r="B86" t="str">
            <v>医疗保障管理事务</v>
          </cell>
          <cell r="C86">
            <v>479.17</v>
          </cell>
          <cell r="D86">
            <v>376.17</v>
          </cell>
          <cell r="E86">
            <v>88</v>
          </cell>
        </row>
        <row r="86">
          <cell r="G86">
            <v>15</v>
          </cell>
          <cell r="H86">
            <v>439.26</v>
          </cell>
          <cell r="I86">
            <v>351.26</v>
          </cell>
          <cell r="J86">
            <v>88</v>
          </cell>
        </row>
        <row r="87">
          <cell r="A87">
            <v>21099</v>
          </cell>
          <cell r="B87" t="str">
            <v>其他卫生健康支出</v>
          </cell>
          <cell r="C87">
            <v>0</v>
          </cell>
        </row>
        <row r="87">
          <cell r="H87">
            <v>452.72</v>
          </cell>
          <cell r="I87">
            <v>0</v>
          </cell>
          <cell r="J87">
            <v>300</v>
          </cell>
          <cell r="K87">
            <v>152.72</v>
          </cell>
        </row>
        <row r="88">
          <cell r="A88" t="str">
            <v>211类</v>
          </cell>
          <cell r="B88" t="str">
            <v>九、节能环保支出</v>
          </cell>
          <cell r="C88">
            <v>57.14</v>
          </cell>
          <cell r="D88">
            <v>0</v>
          </cell>
          <cell r="E88">
            <v>49</v>
          </cell>
        </row>
        <row r="88">
          <cell r="G88">
            <v>8.14</v>
          </cell>
          <cell r="H88">
            <v>641.95</v>
          </cell>
          <cell r="I88">
            <v>0</v>
          </cell>
          <cell r="J88">
            <v>65.9</v>
          </cell>
          <cell r="K88">
            <v>575.56</v>
          </cell>
          <cell r="L88">
            <v>0.49</v>
          </cell>
        </row>
        <row r="89">
          <cell r="A89">
            <v>21101</v>
          </cell>
          <cell r="B89" t="str">
            <v>环境保护管理事务</v>
          </cell>
          <cell r="C89">
            <v>19</v>
          </cell>
        </row>
        <row r="89">
          <cell r="E89">
            <v>19</v>
          </cell>
        </row>
        <row r="89">
          <cell r="H89">
            <v>35.9</v>
          </cell>
          <cell r="I89">
            <v>0</v>
          </cell>
          <cell r="J89">
            <v>35.9</v>
          </cell>
        </row>
        <row r="90">
          <cell r="A90">
            <v>21103</v>
          </cell>
          <cell r="B90" t="str">
            <v>污染防治</v>
          </cell>
          <cell r="C90">
            <v>0</v>
          </cell>
          <cell r="D90">
            <v>0</v>
          </cell>
        </row>
        <row r="90">
          <cell r="H90">
            <v>48.38</v>
          </cell>
          <cell r="I90">
            <v>0</v>
          </cell>
        </row>
        <row r="90">
          <cell r="K90">
            <v>48.38</v>
          </cell>
        </row>
        <row r="91">
          <cell r="A91">
            <v>21104</v>
          </cell>
          <cell r="B91" t="str">
            <v>自然生态保护</v>
          </cell>
          <cell r="C91">
            <v>0</v>
          </cell>
        </row>
        <row r="91">
          <cell r="H91">
            <v>469.19</v>
          </cell>
          <cell r="I91">
            <v>0</v>
          </cell>
        </row>
        <row r="91">
          <cell r="K91">
            <v>469.19</v>
          </cell>
        </row>
        <row r="92">
          <cell r="A92">
            <v>21106</v>
          </cell>
          <cell r="B92" t="str">
            <v>退耕还林还草</v>
          </cell>
          <cell r="C92">
            <v>0</v>
          </cell>
        </row>
        <row r="92">
          <cell r="H92">
            <v>0</v>
          </cell>
          <cell r="I92">
            <v>0</v>
          </cell>
        </row>
        <row r="93">
          <cell r="A93">
            <v>21105</v>
          </cell>
          <cell r="B93" t="str">
            <v>天然林保护</v>
          </cell>
        </row>
        <row r="93">
          <cell r="G93">
            <v>8.14</v>
          </cell>
          <cell r="H93">
            <v>2.41</v>
          </cell>
          <cell r="I93">
            <v>0</v>
          </cell>
        </row>
        <row r="93">
          <cell r="K93">
            <v>1.92</v>
          </cell>
          <cell r="L93">
            <v>0.49</v>
          </cell>
        </row>
        <row r="94">
          <cell r="A94">
            <v>21110</v>
          </cell>
          <cell r="B94" t="str">
            <v>能源节约利用</v>
          </cell>
          <cell r="C94">
            <v>30</v>
          </cell>
          <cell r="D94">
            <v>0</v>
          </cell>
          <cell r="E94">
            <v>30</v>
          </cell>
        </row>
        <row r="94">
          <cell r="H94">
            <v>62.07</v>
          </cell>
          <cell r="I94">
            <v>0</v>
          </cell>
          <cell r="J94">
            <v>30</v>
          </cell>
          <cell r="K94">
            <v>32.07</v>
          </cell>
        </row>
        <row r="95">
          <cell r="A95">
            <v>21111</v>
          </cell>
          <cell r="B95" t="str">
            <v>污染减排</v>
          </cell>
          <cell r="C95">
            <v>0</v>
          </cell>
        </row>
        <row r="95">
          <cell r="H95">
            <v>0</v>
          </cell>
          <cell r="I95">
            <v>0</v>
          </cell>
        </row>
        <row r="96">
          <cell r="A96">
            <v>21199</v>
          </cell>
          <cell r="B96" t="str">
            <v>其他节能环保支出</v>
          </cell>
        </row>
        <row r="96">
          <cell r="H96">
            <v>24</v>
          </cell>
        </row>
        <row r="96">
          <cell r="K96">
            <v>24</v>
          </cell>
        </row>
        <row r="97">
          <cell r="A97" t="str">
            <v>212类</v>
          </cell>
          <cell r="B97" t="str">
            <v>十、城乡社区支出</v>
          </cell>
          <cell r="C97">
            <v>25091.468</v>
          </cell>
          <cell r="D97">
            <v>7776.25</v>
          </cell>
          <cell r="E97">
            <v>17315.218</v>
          </cell>
          <cell r="F97">
            <v>0</v>
          </cell>
          <cell r="G97">
            <v>0</v>
          </cell>
          <cell r="H97">
            <v>8959.57</v>
          </cell>
          <cell r="I97">
            <v>7515.09</v>
          </cell>
          <cell r="J97">
            <v>1253.2</v>
          </cell>
          <cell r="K97">
            <v>175.08</v>
          </cell>
          <cell r="L97">
            <v>16.2</v>
          </cell>
        </row>
        <row r="98">
          <cell r="A98">
            <v>21201</v>
          </cell>
          <cell r="B98" t="str">
            <v>城乡社区管理事务</v>
          </cell>
          <cell r="C98">
            <v>19712.83</v>
          </cell>
          <cell r="D98">
            <v>2814.98</v>
          </cell>
          <cell r="E98">
            <v>16897.85</v>
          </cell>
        </row>
        <row r="98">
          <cell r="H98">
            <v>3491.04</v>
          </cell>
          <cell r="I98">
            <v>2745.86</v>
          </cell>
          <cell r="J98">
            <v>717.3</v>
          </cell>
          <cell r="K98">
            <v>11.68</v>
          </cell>
          <cell r="L98">
            <v>16.2</v>
          </cell>
        </row>
        <row r="99">
          <cell r="A99">
            <v>21202</v>
          </cell>
          <cell r="B99" t="str">
            <v>城乡社区规划与管理</v>
          </cell>
          <cell r="C99">
            <v>174.178</v>
          </cell>
          <cell r="D99">
            <v>145.96</v>
          </cell>
          <cell r="E99">
            <v>28.218</v>
          </cell>
        </row>
        <row r="99">
          <cell r="H99">
            <v>112.36</v>
          </cell>
          <cell r="I99">
            <v>112.36</v>
          </cell>
        </row>
        <row r="100">
          <cell r="A100">
            <v>21203</v>
          </cell>
          <cell r="B100" t="str">
            <v>城市社区公共设施</v>
          </cell>
          <cell r="C100">
            <v>219.75</v>
          </cell>
        </row>
        <row r="100">
          <cell r="E100">
            <v>219.75</v>
          </cell>
        </row>
        <row r="100">
          <cell r="H100">
            <v>90</v>
          </cell>
          <cell r="I100">
            <v>0</v>
          </cell>
          <cell r="J100">
            <v>90</v>
          </cell>
        </row>
        <row r="101">
          <cell r="A101">
            <v>21205</v>
          </cell>
          <cell r="B101" t="str">
            <v>城乡社区环境卫生</v>
          </cell>
          <cell r="C101">
            <v>4984.71</v>
          </cell>
          <cell r="D101">
            <v>4815.31</v>
          </cell>
          <cell r="E101">
            <v>169.4</v>
          </cell>
        </row>
        <row r="101">
          <cell r="H101">
            <v>5266.17</v>
          </cell>
          <cell r="I101">
            <v>4656.87</v>
          </cell>
          <cell r="J101">
            <v>445.9</v>
          </cell>
          <cell r="K101">
            <v>163.4</v>
          </cell>
        </row>
        <row r="102">
          <cell r="A102">
            <v>21299</v>
          </cell>
          <cell r="B102" t="str">
            <v>其他城乡社区支出</v>
          </cell>
          <cell r="C102">
            <v>0</v>
          </cell>
        </row>
        <row r="102">
          <cell r="H102">
            <v>0</v>
          </cell>
          <cell r="I102">
            <v>0</v>
          </cell>
        </row>
        <row r="103">
          <cell r="A103" t="str">
            <v>213类</v>
          </cell>
          <cell r="B103" t="str">
            <v>十一、农林水支出</v>
          </cell>
          <cell r="C103">
            <v>35619.73</v>
          </cell>
          <cell r="D103">
            <v>8495.01</v>
          </cell>
          <cell r="E103">
            <v>6169.56</v>
          </cell>
          <cell r="F103">
            <v>0</v>
          </cell>
          <cell r="G103">
            <v>20955.16</v>
          </cell>
          <cell r="H103">
            <v>50277.76</v>
          </cell>
          <cell r="I103">
            <v>6962.58</v>
          </cell>
          <cell r="J103">
            <v>6960.27</v>
          </cell>
          <cell r="K103">
            <v>12738.99</v>
          </cell>
          <cell r="L103">
            <v>23615.92</v>
          </cell>
        </row>
        <row r="104">
          <cell r="A104">
            <v>21301</v>
          </cell>
          <cell r="B104" t="str">
            <v>农业农村</v>
          </cell>
          <cell r="C104">
            <v>15335.68</v>
          </cell>
          <cell r="D104">
            <v>5138.12</v>
          </cell>
          <cell r="E104">
            <v>1046.87</v>
          </cell>
        </row>
        <row r="104">
          <cell r="G104">
            <v>9150.69</v>
          </cell>
          <cell r="H104">
            <v>22859.22</v>
          </cell>
          <cell r="I104">
            <v>4373.55</v>
          </cell>
          <cell r="J104">
            <v>1537.91</v>
          </cell>
          <cell r="K104">
            <v>8189.56</v>
          </cell>
          <cell r="L104">
            <v>8758.2</v>
          </cell>
        </row>
        <row r="105">
          <cell r="A105">
            <v>21302</v>
          </cell>
          <cell r="B105" t="str">
            <v>林业和草原</v>
          </cell>
          <cell r="C105">
            <v>4991.25</v>
          </cell>
          <cell r="D105">
            <v>1276.84</v>
          </cell>
          <cell r="E105">
            <v>605.94</v>
          </cell>
        </row>
        <row r="105">
          <cell r="G105">
            <v>3108.47</v>
          </cell>
          <cell r="H105">
            <v>5101.43</v>
          </cell>
          <cell r="I105">
            <v>925.25</v>
          </cell>
          <cell r="J105">
            <v>172.36</v>
          </cell>
          <cell r="K105">
            <v>1886.1</v>
          </cell>
          <cell r="L105">
            <v>2117.72</v>
          </cell>
        </row>
        <row r="106">
          <cell r="A106">
            <v>21303</v>
          </cell>
          <cell r="B106" t="str">
            <v>水利</v>
          </cell>
          <cell r="C106">
            <v>5812.9</v>
          </cell>
          <cell r="D106">
            <v>1421.9</v>
          </cell>
          <cell r="E106">
            <v>2313</v>
          </cell>
        </row>
        <row r="106">
          <cell r="G106">
            <v>2078</v>
          </cell>
          <cell r="H106">
            <v>8111.82</v>
          </cell>
          <cell r="I106">
            <v>1212.13</v>
          </cell>
          <cell r="J106">
            <v>2338</v>
          </cell>
          <cell r="K106">
            <v>1928.69</v>
          </cell>
          <cell r="L106">
            <v>2633</v>
          </cell>
        </row>
        <row r="107">
          <cell r="A107">
            <v>21305</v>
          </cell>
          <cell r="B107" t="str">
            <v>巩固脱贫衔接乡村振兴</v>
          </cell>
          <cell r="C107">
            <v>6967.15</v>
          </cell>
          <cell r="D107">
            <v>658.15</v>
          </cell>
          <cell r="E107">
            <v>2050</v>
          </cell>
        </row>
        <row r="107">
          <cell r="G107">
            <v>4259</v>
          </cell>
          <cell r="H107">
            <v>10774.65</v>
          </cell>
          <cell r="I107">
            <v>451.65</v>
          </cell>
          <cell r="J107">
            <v>2900</v>
          </cell>
        </row>
        <row r="107">
          <cell r="L107">
            <v>7423</v>
          </cell>
        </row>
        <row r="108">
          <cell r="A108">
            <v>21307</v>
          </cell>
          <cell r="B108" t="str">
            <v>农村综合改革</v>
          </cell>
          <cell r="C108">
            <v>2384</v>
          </cell>
        </row>
        <row r="108">
          <cell r="E108">
            <v>25</v>
          </cell>
        </row>
        <row r="108">
          <cell r="G108">
            <v>2359</v>
          </cell>
          <cell r="H108">
            <v>2903.86</v>
          </cell>
          <cell r="I108">
            <v>0</v>
          </cell>
          <cell r="J108">
            <v>12</v>
          </cell>
          <cell r="K108">
            <v>290.86</v>
          </cell>
          <cell r="L108">
            <v>2601</v>
          </cell>
        </row>
        <row r="109">
          <cell r="A109">
            <v>21308</v>
          </cell>
          <cell r="B109" t="str">
            <v>普惠金融发展支出</v>
          </cell>
        </row>
        <row r="109">
          <cell r="H109">
            <v>60.98</v>
          </cell>
        </row>
        <row r="109">
          <cell r="K109">
            <v>24.98</v>
          </cell>
          <cell r="L109">
            <v>36</v>
          </cell>
        </row>
        <row r="110">
          <cell r="A110">
            <v>21309</v>
          </cell>
          <cell r="B110" t="str">
            <v>目标价格补贴</v>
          </cell>
        </row>
        <row r="110">
          <cell r="H110">
            <v>1.9</v>
          </cell>
        </row>
        <row r="110">
          <cell r="K110">
            <v>1.9</v>
          </cell>
        </row>
        <row r="111">
          <cell r="A111">
            <v>21399</v>
          </cell>
          <cell r="B111" t="str">
            <v>其他农业支出</v>
          </cell>
          <cell r="C111">
            <v>128.75</v>
          </cell>
        </row>
        <row r="111">
          <cell r="E111">
            <v>128.75</v>
          </cell>
        </row>
        <row r="111">
          <cell r="H111">
            <v>463.9</v>
          </cell>
          <cell r="I111">
            <v>0</v>
          </cell>
        </row>
        <row r="111">
          <cell r="K111">
            <v>416.9</v>
          </cell>
          <cell r="L111">
            <v>47</v>
          </cell>
        </row>
        <row r="112">
          <cell r="A112" t="str">
            <v>214类</v>
          </cell>
          <cell r="B112" t="str">
            <v>十二、交通运输支出</v>
          </cell>
          <cell r="C112">
            <v>1983.74</v>
          </cell>
          <cell r="D112">
            <v>677.74</v>
          </cell>
          <cell r="E112">
            <v>622</v>
          </cell>
          <cell r="F112">
            <v>0</v>
          </cell>
          <cell r="G112">
            <v>684</v>
          </cell>
          <cell r="H112">
            <v>1181.03</v>
          </cell>
          <cell r="I112">
            <v>545.74</v>
          </cell>
          <cell r="J112">
            <v>47.4</v>
          </cell>
          <cell r="K112">
            <v>96.89</v>
          </cell>
          <cell r="L112">
            <v>491</v>
          </cell>
        </row>
        <row r="113">
          <cell r="A113">
            <v>21401</v>
          </cell>
          <cell r="B113" t="str">
            <v>公路水路运输</v>
          </cell>
          <cell r="C113">
            <v>1983.74</v>
          </cell>
          <cell r="D113">
            <v>677.74</v>
          </cell>
          <cell r="E113">
            <v>622</v>
          </cell>
        </row>
        <row r="113">
          <cell r="G113">
            <v>684</v>
          </cell>
          <cell r="H113">
            <v>1134.25</v>
          </cell>
          <cell r="I113">
            <v>545.74</v>
          </cell>
          <cell r="J113">
            <v>47.4</v>
          </cell>
          <cell r="K113">
            <v>50.11</v>
          </cell>
          <cell r="L113">
            <v>491</v>
          </cell>
        </row>
        <row r="114">
          <cell r="A114">
            <v>21406</v>
          </cell>
          <cell r="B114" t="str">
            <v>车辆购置税支出</v>
          </cell>
          <cell r="C114">
            <v>0</v>
          </cell>
        </row>
        <row r="114">
          <cell r="H114">
            <v>46.78</v>
          </cell>
          <cell r="I114">
            <v>0</v>
          </cell>
        </row>
        <row r="114">
          <cell r="K114">
            <v>46.78</v>
          </cell>
        </row>
        <row r="115">
          <cell r="A115" t="str">
            <v>215类</v>
          </cell>
          <cell r="B115" t="str">
            <v>十三、资源勘探工业信息等支出</v>
          </cell>
          <cell r="C115">
            <v>1832.31</v>
          </cell>
          <cell r="D115">
            <v>248.99</v>
          </cell>
          <cell r="E115">
            <v>1583.32</v>
          </cell>
          <cell r="F115">
            <v>0</v>
          </cell>
          <cell r="G115">
            <v>0</v>
          </cell>
          <cell r="H115">
            <v>722.48</v>
          </cell>
          <cell r="I115">
            <v>222.79</v>
          </cell>
          <cell r="J115">
            <v>146</v>
          </cell>
          <cell r="K115">
            <v>353.69</v>
          </cell>
          <cell r="L115">
            <v>0</v>
          </cell>
        </row>
        <row r="116">
          <cell r="A116">
            <v>21502</v>
          </cell>
          <cell r="B116" t="str">
            <v>制造业</v>
          </cell>
        </row>
        <row r="116">
          <cell r="H116">
            <v>353.69</v>
          </cell>
        </row>
        <row r="116">
          <cell r="K116">
            <v>353.69</v>
          </cell>
        </row>
        <row r="117">
          <cell r="A117">
            <v>21505</v>
          </cell>
          <cell r="B117" t="str">
            <v>工业和信息产业监管</v>
          </cell>
          <cell r="C117">
            <v>1832.31</v>
          </cell>
          <cell r="D117">
            <v>248.99</v>
          </cell>
          <cell r="E117">
            <v>1583.32</v>
          </cell>
        </row>
        <row r="117">
          <cell r="H117">
            <v>368.79</v>
          </cell>
          <cell r="I117">
            <v>222.79</v>
          </cell>
          <cell r="J117">
            <v>146</v>
          </cell>
        </row>
        <row r="118">
          <cell r="A118" t="str">
            <v>216类</v>
          </cell>
          <cell r="B118" t="str">
            <v>十四、商业服务业等支出</v>
          </cell>
          <cell r="C118">
            <v>287.7</v>
          </cell>
          <cell r="D118">
            <v>287.7</v>
          </cell>
          <cell r="E118">
            <v>0</v>
          </cell>
          <cell r="F118">
            <v>0</v>
          </cell>
          <cell r="G118">
            <v>0</v>
          </cell>
          <cell r="H118">
            <v>268.47</v>
          </cell>
          <cell r="I118">
            <v>268.47</v>
          </cell>
          <cell r="J118">
            <v>0</v>
          </cell>
          <cell r="K118">
            <v>0</v>
          </cell>
          <cell r="L118">
            <v>0</v>
          </cell>
        </row>
        <row r="119">
          <cell r="A119">
            <v>21602</v>
          </cell>
          <cell r="B119" t="str">
            <v>商业流通事务</v>
          </cell>
          <cell r="C119">
            <v>268.7</v>
          </cell>
          <cell r="D119">
            <v>268.7</v>
          </cell>
        </row>
        <row r="119">
          <cell r="H119">
            <v>268.47</v>
          </cell>
          <cell r="I119">
            <v>268.47</v>
          </cell>
        </row>
        <row r="120">
          <cell r="A120">
            <v>21606</v>
          </cell>
          <cell r="B120" t="str">
            <v>涉外发展服务支出</v>
          </cell>
          <cell r="C120">
            <v>19</v>
          </cell>
          <cell r="D120">
            <v>19</v>
          </cell>
        </row>
        <row r="120">
          <cell r="H120">
            <v>0</v>
          </cell>
          <cell r="I120">
            <v>0</v>
          </cell>
        </row>
        <row r="121">
          <cell r="A121" t="str">
            <v>217类</v>
          </cell>
          <cell r="B121" t="str">
            <v>十五、金融支出</v>
          </cell>
        </row>
        <row r="121">
          <cell r="H121">
            <v>4603.42</v>
          </cell>
        </row>
        <row r="121">
          <cell r="J121">
            <v>4000</v>
          </cell>
          <cell r="K121">
            <v>603.42</v>
          </cell>
        </row>
        <row r="122">
          <cell r="A122">
            <v>21703</v>
          </cell>
          <cell r="B122" t="str">
            <v>金融发展支出</v>
          </cell>
        </row>
        <row r="122">
          <cell r="H122">
            <v>4603.42</v>
          </cell>
        </row>
        <row r="122">
          <cell r="J122">
            <v>4000</v>
          </cell>
          <cell r="K122">
            <v>603.42</v>
          </cell>
        </row>
        <row r="123">
          <cell r="A123" t="str">
            <v>220类</v>
          </cell>
          <cell r="B123" t="str">
            <v>十六、自然资源海洋气象等支出</v>
          </cell>
          <cell r="C123">
            <v>2025.93</v>
          </cell>
          <cell r="D123">
            <v>1336.13</v>
          </cell>
          <cell r="E123">
            <v>689.8</v>
          </cell>
          <cell r="F123">
            <v>0</v>
          </cell>
          <cell r="G123">
            <v>0</v>
          </cell>
          <cell r="H123">
            <v>1519.41</v>
          </cell>
          <cell r="I123">
            <v>949.21</v>
          </cell>
          <cell r="J123">
            <v>570.2</v>
          </cell>
          <cell r="K123">
            <v>0</v>
          </cell>
          <cell r="L123">
            <v>0</v>
          </cell>
        </row>
        <row r="124">
          <cell r="A124">
            <v>22001</v>
          </cell>
          <cell r="B124" t="str">
            <v>自然资源事务</v>
          </cell>
          <cell r="C124">
            <v>1929.08</v>
          </cell>
          <cell r="D124">
            <v>1277.08</v>
          </cell>
          <cell r="E124">
            <v>652</v>
          </cell>
        </row>
        <row r="124">
          <cell r="H124">
            <v>1444.44</v>
          </cell>
          <cell r="I124">
            <v>930.94</v>
          </cell>
          <cell r="J124">
            <v>513.5</v>
          </cell>
        </row>
        <row r="125">
          <cell r="A125">
            <v>22005</v>
          </cell>
          <cell r="B125" t="str">
            <v>气象事务</v>
          </cell>
          <cell r="C125">
            <v>96.85</v>
          </cell>
          <cell r="D125">
            <v>59.05</v>
          </cell>
          <cell r="E125">
            <v>37.8</v>
          </cell>
        </row>
        <row r="125">
          <cell r="H125">
            <v>74.97</v>
          </cell>
          <cell r="I125">
            <v>18.27</v>
          </cell>
          <cell r="J125">
            <v>56.7</v>
          </cell>
        </row>
        <row r="126">
          <cell r="A126" t="str">
            <v>221类</v>
          </cell>
          <cell r="B126" t="str">
            <v>十七、住房保障支出</v>
          </cell>
          <cell r="C126">
            <v>10563.17</v>
          </cell>
          <cell r="D126">
            <v>9028.06</v>
          </cell>
          <cell r="E126">
            <v>1370.12</v>
          </cell>
          <cell r="F126">
            <v>0</v>
          </cell>
          <cell r="G126">
            <v>164.99</v>
          </cell>
          <cell r="H126">
            <v>10003.95</v>
          </cell>
          <cell r="I126">
            <v>9562.46</v>
          </cell>
          <cell r="J126">
            <v>29.3</v>
          </cell>
          <cell r="K126">
            <v>174.28</v>
          </cell>
          <cell r="L126">
            <v>237.91</v>
          </cell>
        </row>
        <row r="127">
          <cell r="A127">
            <v>22101</v>
          </cell>
          <cell r="B127" t="str">
            <v>保障性安居工程支出</v>
          </cell>
          <cell r="C127">
            <v>1535.11</v>
          </cell>
        </row>
        <row r="127">
          <cell r="E127">
            <v>1370.12</v>
          </cell>
        </row>
        <row r="127">
          <cell r="G127">
            <v>164.99</v>
          </cell>
          <cell r="H127">
            <v>441.49</v>
          </cell>
          <cell r="I127">
            <v>0</v>
          </cell>
          <cell r="J127">
            <v>29.3</v>
          </cell>
          <cell r="K127">
            <v>174.28</v>
          </cell>
          <cell r="L127">
            <v>237.91</v>
          </cell>
        </row>
        <row r="128">
          <cell r="A128">
            <v>22102</v>
          </cell>
          <cell r="B128" t="str">
            <v>住房改革支出</v>
          </cell>
          <cell r="C128">
            <v>9028.06</v>
          </cell>
          <cell r="D128">
            <v>9028.06</v>
          </cell>
        </row>
        <row r="128">
          <cell r="H128">
            <v>9562.46</v>
          </cell>
          <cell r="I128">
            <v>9562.46</v>
          </cell>
        </row>
        <row r="129">
          <cell r="A129" t="str">
            <v>222类</v>
          </cell>
          <cell r="B129" t="str">
            <v>十八、粮油物资储备支出</v>
          </cell>
          <cell r="C129">
            <v>215.92</v>
          </cell>
          <cell r="D129">
            <v>69.92</v>
          </cell>
          <cell r="E129">
            <v>146</v>
          </cell>
          <cell r="F129">
            <v>0</v>
          </cell>
          <cell r="G129">
            <v>0</v>
          </cell>
          <cell r="H129">
            <v>672.45</v>
          </cell>
          <cell r="I129">
            <v>36.1</v>
          </cell>
          <cell r="J129">
            <v>159</v>
          </cell>
          <cell r="K129">
            <v>477.35</v>
          </cell>
          <cell r="L129">
            <v>0</v>
          </cell>
        </row>
        <row r="130">
          <cell r="A130">
            <v>22201</v>
          </cell>
          <cell r="B130" t="str">
            <v>粮油物资事务</v>
          </cell>
          <cell r="C130">
            <v>215.92</v>
          </cell>
          <cell r="D130">
            <v>69.92</v>
          </cell>
          <cell r="E130">
            <v>146</v>
          </cell>
        </row>
        <row r="130">
          <cell r="H130">
            <v>195.39</v>
          </cell>
          <cell r="I130">
            <v>36.1</v>
          </cell>
          <cell r="J130">
            <v>159.29</v>
          </cell>
        </row>
        <row r="131">
          <cell r="A131">
            <v>22204</v>
          </cell>
          <cell r="B131" t="str">
            <v>粮油储备</v>
          </cell>
        </row>
        <row r="131">
          <cell r="H131">
            <v>477.35</v>
          </cell>
        </row>
        <row r="131">
          <cell r="K131">
            <v>477.35</v>
          </cell>
        </row>
        <row r="132">
          <cell r="A132" t="str">
            <v>224类</v>
          </cell>
          <cell r="B132" t="str">
            <v>十九、灾害防治及应急管理支出</v>
          </cell>
          <cell r="C132">
            <v>1888.19</v>
          </cell>
          <cell r="D132">
            <v>581.66</v>
          </cell>
          <cell r="E132">
            <v>1306.53</v>
          </cell>
        </row>
        <row r="132">
          <cell r="H132">
            <v>1896.31</v>
          </cell>
          <cell r="I132">
            <v>631.96</v>
          </cell>
          <cell r="J132">
            <v>1211.75</v>
          </cell>
          <cell r="K132">
            <v>52.6</v>
          </cell>
        </row>
        <row r="133">
          <cell r="A133">
            <v>22401</v>
          </cell>
          <cell r="B133" t="str">
            <v>应急管理事务</v>
          </cell>
          <cell r="C133">
            <v>1080.05</v>
          </cell>
          <cell r="D133">
            <v>581.66</v>
          </cell>
          <cell r="E133">
            <v>498.39</v>
          </cell>
        </row>
        <row r="133">
          <cell r="H133">
            <v>959.06</v>
          </cell>
          <cell r="I133">
            <v>631.96</v>
          </cell>
          <cell r="J133">
            <v>327.1</v>
          </cell>
        </row>
        <row r="134">
          <cell r="A134">
            <v>22402</v>
          </cell>
          <cell r="B134" t="str">
            <v>消防救援事务</v>
          </cell>
          <cell r="C134">
            <v>731.49</v>
          </cell>
        </row>
        <row r="134">
          <cell r="E134">
            <v>731.49</v>
          </cell>
        </row>
        <row r="134">
          <cell r="H134">
            <v>874.65</v>
          </cell>
          <cell r="I134">
            <v>0</v>
          </cell>
          <cell r="J134">
            <v>874.65</v>
          </cell>
        </row>
        <row r="135">
          <cell r="A135">
            <v>22403</v>
          </cell>
          <cell r="B135" t="str">
            <v>森林消防事务</v>
          </cell>
          <cell r="C135">
            <v>31.5</v>
          </cell>
        </row>
        <row r="135">
          <cell r="E135">
            <v>31.5</v>
          </cell>
        </row>
        <row r="135">
          <cell r="H135">
            <v>0</v>
          </cell>
          <cell r="I135">
            <v>0</v>
          </cell>
        </row>
        <row r="136">
          <cell r="A136">
            <v>22405</v>
          </cell>
          <cell r="B136" t="str">
            <v>地震事务</v>
          </cell>
          <cell r="C136">
            <v>0</v>
          </cell>
        </row>
        <row r="136">
          <cell r="H136">
            <v>0</v>
          </cell>
          <cell r="I136">
            <v>0</v>
          </cell>
        </row>
        <row r="137">
          <cell r="A137">
            <v>22406</v>
          </cell>
          <cell r="B137" t="str">
            <v>自然灾害防治</v>
          </cell>
          <cell r="C137">
            <v>0</v>
          </cell>
        </row>
        <row r="137">
          <cell r="H137">
            <v>0</v>
          </cell>
          <cell r="I137">
            <v>0</v>
          </cell>
        </row>
        <row r="138">
          <cell r="A138">
            <v>22407</v>
          </cell>
          <cell r="B138" t="str">
            <v>自然灾害救灾及恢复重建支出</v>
          </cell>
          <cell r="C138">
            <v>45.15</v>
          </cell>
        </row>
        <row r="138">
          <cell r="E138">
            <v>45.15</v>
          </cell>
        </row>
        <row r="138">
          <cell r="H138">
            <v>26.6</v>
          </cell>
          <cell r="I138">
            <v>0</v>
          </cell>
          <cell r="J138">
            <v>10</v>
          </cell>
          <cell r="K138">
            <v>16.6</v>
          </cell>
        </row>
        <row r="139">
          <cell r="A139">
            <v>22499</v>
          </cell>
          <cell r="B139" t="str">
            <v>其他灾害防治及应急管理支出</v>
          </cell>
        </row>
        <row r="139">
          <cell r="H139">
            <v>36</v>
          </cell>
        </row>
        <row r="139">
          <cell r="K139">
            <v>36</v>
          </cell>
        </row>
        <row r="140">
          <cell r="A140" t="str">
            <v>227类</v>
          </cell>
          <cell r="B140" t="str">
            <v>二十、预备费</v>
          </cell>
          <cell r="C140">
            <v>3000</v>
          </cell>
        </row>
        <row r="140">
          <cell r="E140">
            <v>3000</v>
          </cell>
        </row>
        <row r="140">
          <cell r="H140">
            <v>3000</v>
          </cell>
        </row>
        <row r="140">
          <cell r="J140">
            <v>3000</v>
          </cell>
        </row>
        <row r="141">
          <cell r="A141" t="str">
            <v>229类</v>
          </cell>
          <cell r="B141" t="str">
            <v>二十一、其他支出</v>
          </cell>
          <cell r="C141">
            <v>12978.2</v>
          </cell>
          <cell r="D141">
            <v>8468</v>
          </cell>
          <cell r="E141">
            <v>4510.2</v>
          </cell>
        </row>
        <row r="141">
          <cell r="G141">
            <v>0</v>
          </cell>
          <cell r="H141">
            <v>23807</v>
          </cell>
          <cell r="I141">
            <v>13400</v>
          </cell>
          <cell r="J141">
            <v>10147</v>
          </cell>
          <cell r="K141">
            <v>260</v>
          </cell>
          <cell r="L141">
            <v>0</v>
          </cell>
        </row>
        <row r="142">
          <cell r="A142">
            <v>22902</v>
          </cell>
          <cell r="B142" t="str">
            <v>年初预留</v>
          </cell>
          <cell r="C142">
            <v>4110.2</v>
          </cell>
        </row>
        <row r="142">
          <cell r="E142">
            <v>4110.2</v>
          </cell>
        </row>
        <row r="142">
          <cell r="H142">
            <v>8792</v>
          </cell>
        </row>
        <row r="142">
          <cell r="J142">
            <v>8792</v>
          </cell>
        </row>
        <row r="143">
          <cell r="A143">
            <v>22999</v>
          </cell>
          <cell r="B143" t="str">
            <v>其他支出</v>
          </cell>
          <cell r="C143">
            <v>8868</v>
          </cell>
          <cell r="D143">
            <v>8468</v>
          </cell>
          <cell r="E143">
            <v>400</v>
          </cell>
        </row>
        <row r="143">
          <cell r="H143">
            <v>15015</v>
          </cell>
          <cell r="I143">
            <v>13400</v>
          </cell>
          <cell r="J143">
            <v>1355</v>
          </cell>
          <cell r="K143">
            <v>260</v>
          </cell>
        </row>
        <row r="144">
          <cell r="A144" t="str">
            <v>232类</v>
          </cell>
          <cell r="B144" t="str">
            <v>二十二、债务付息支出</v>
          </cell>
          <cell r="C144">
            <v>4750</v>
          </cell>
        </row>
        <row r="144">
          <cell r="E144">
            <v>4750</v>
          </cell>
        </row>
        <row r="144">
          <cell r="H144">
            <v>4324</v>
          </cell>
        </row>
        <row r="144">
          <cell r="J144">
            <v>4324</v>
          </cell>
        </row>
        <row r="145">
          <cell r="A145">
            <v>23203</v>
          </cell>
          <cell r="B145" t="str">
            <v>地方政府一般债务付息支出</v>
          </cell>
          <cell r="C145">
            <v>4750</v>
          </cell>
        </row>
        <row r="145">
          <cell r="E145">
            <v>4750</v>
          </cell>
        </row>
        <row r="145">
          <cell r="H145">
            <v>4324</v>
          </cell>
          <cell r="I145">
            <v>0</v>
          </cell>
          <cell r="J145">
            <v>4324</v>
          </cell>
        </row>
      </sheetData>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Sheet1"/>
      <sheetName val="data (2)"/>
    </sheetNames>
    <sheetDataSet>
      <sheetData sheetId="0" refreshError="1"/>
      <sheetData sheetId="1" refreshError="1">
        <row r="4">
          <cell r="A4">
            <v>20101</v>
          </cell>
          <cell r="B4">
            <v>0</v>
          </cell>
          <cell r="C4">
            <v>157.6</v>
          </cell>
        </row>
        <row r="5">
          <cell r="A5">
            <v>20102</v>
          </cell>
          <cell r="B5">
            <v>0</v>
          </cell>
          <cell r="C5">
            <v>63</v>
          </cell>
        </row>
        <row r="6">
          <cell r="A6">
            <v>20103</v>
          </cell>
          <cell r="B6">
            <v>0</v>
          </cell>
          <cell r="C6">
            <v>861.63519</v>
          </cell>
        </row>
        <row r="7">
          <cell r="A7">
            <v>20106</v>
          </cell>
          <cell r="B7">
            <v>0</v>
          </cell>
          <cell r="C7">
            <v>171.5298</v>
          </cell>
        </row>
        <row r="8">
          <cell r="A8">
            <v>20111</v>
          </cell>
          <cell r="B8">
            <v>0</v>
          </cell>
          <cell r="C8">
            <v>33.06</v>
          </cell>
        </row>
        <row r="9">
          <cell r="A9">
            <v>20123</v>
          </cell>
          <cell r="B9">
            <v>0</v>
          </cell>
          <cell r="C9">
            <v>10</v>
          </cell>
        </row>
        <row r="10">
          <cell r="A10">
            <v>20125</v>
          </cell>
          <cell r="B10">
            <v>0</v>
          </cell>
          <cell r="C10">
            <v>0.64</v>
          </cell>
        </row>
        <row r="11">
          <cell r="A11">
            <v>20129</v>
          </cell>
          <cell r="B11">
            <v>0</v>
          </cell>
          <cell r="C11">
            <v>84.936</v>
          </cell>
        </row>
        <row r="12">
          <cell r="A12">
            <v>20131</v>
          </cell>
          <cell r="B12">
            <v>0</v>
          </cell>
          <cell r="C12">
            <v>44.04</v>
          </cell>
        </row>
        <row r="13">
          <cell r="A13">
            <v>20132</v>
          </cell>
          <cell r="B13">
            <v>0</v>
          </cell>
          <cell r="C13">
            <v>440.2</v>
          </cell>
        </row>
        <row r="14">
          <cell r="A14">
            <v>20134</v>
          </cell>
          <cell r="B14">
            <v>0</v>
          </cell>
          <cell r="C14">
            <v>27.6</v>
          </cell>
        </row>
        <row r="15">
          <cell r="A15">
            <v>20136</v>
          </cell>
          <cell r="B15">
            <v>0</v>
          </cell>
          <cell r="C15">
            <v>198.36</v>
          </cell>
        </row>
        <row r="16">
          <cell r="A16">
            <v>20306</v>
          </cell>
          <cell r="B16">
            <v>0</v>
          </cell>
          <cell r="C16">
            <v>66.38</v>
          </cell>
        </row>
        <row r="17">
          <cell r="A17">
            <v>20406</v>
          </cell>
          <cell r="B17">
            <v>0</v>
          </cell>
          <cell r="C17">
            <v>24.246</v>
          </cell>
        </row>
        <row r="18">
          <cell r="A18">
            <v>20502</v>
          </cell>
          <cell r="B18">
            <v>0</v>
          </cell>
          <cell r="C18">
            <v>5172.7555</v>
          </cell>
        </row>
        <row r="19">
          <cell r="A19">
            <v>20507</v>
          </cell>
          <cell r="B19">
            <v>0</v>
          </cell>
          <cell r="C19">
            <v>0</v>
          </cell>
        </row>
        <row r="20">
          <cell r="A20">
            <v>20509</v>
          </cell>
          <cell r="B20">
            <v>0</v>
          </cell>
          <cell r="C20">
            <v>2340</v>
          </cell>
        </row>
        <row r="21">
          <cell r="A21">
            <v>20599</v>
          </cell>
          <cell r="B21">
            <v>0</v>
          </cell>
          <cell r="C21">
            <v>378.4</v>
          </cell>
        </row>
        <row r="22">
          <cell r="A22">
            <v>20601</v>
          </cell>
          <cell r="B22">
            <v>0</v>
          </cell>
          <cell r="C22">
            <v>2.5</v>
          </cell>
        </row>
        <row r="23">
          <cell r="A23">
            <v>20701</v>
          </cell>
          <cell r="B23">
            <v>0</v>
          </cell>
          <cell r="C23">
            <v>60</v>
          </cell>
        </row>
        <row r="24">
          <cell r="A24">
            <v>20703</v>
          </cell>
          <cell r="B24">
            <v>0</v>
          </cell>
          <cell r="C24">
            <v>80.348</v>
          </cell>
        </row>
        <row r="25">
          <cell r="A25">
            <v>20801</v>
          </cell>
          <cell r="B25">
            <v>0</v>
          </cell>
          <cell r="C25">
            <v>50</v>
          </cell>
        </row>
        <row r="26">
          <cell r="A26">
            <v>20802</v>
          </cell>
          <cell r="B26">
            <v>0</v>
          </cell>
          <cell r="C26">
            <v>103</v>
          </cell>
        </row>
        <row r="27">
          <cell r="A27">
            <v>20805</v>
          </cell>
          <cell r="B27">
            <v>0</v>
          </cell>
          <cell r="C27">
            <v>500</v>
          </cell>
        </row>
        <row r="28">
          <cell r="A28">
            <v>20808</v>
          </cell>
          <cell r="B28">
            <v>0</v>
          </cell>
          <cell r="C28">
            <v>37</v>
          </cell>
        </row>
        <row r="29">
          <cell r="A29">
            <v>20809</v>
          </cell>
          <cell r="B29">
            <v>0</v>
          </cell>
          <cell r="C29">
            <v>60</v>
          </cell>
        </row>
        <row r="30">
          <cell r="A30">
            <v>20810</v>
          </cell>
          <cell r="B30">
            <v>0</v>
          </cell>
          <cell r="C30">
            <v>1027</v>
          </cell>
        </row>
        <row r="31">
          <cell r="A31">
            <v>20811</v>
          </cell>
          <cell r="B31">
            <v>0</v>
          </cell>
          <cell r="C31">
            <v>582.946</v>
          </cell>
        </row>
        <row r="32">
          <cell r="A32">
            <v>20819</v>
          </cell>
          <cell r="B32">
            <v>0</v>
          </cell>
          <cell r="C32">
            <v>320</v>
          </cell>
        </row>
        <row r="33">
          <cell r="A33">
            <v>20820</v>
          </cell>
          <cell r="B33">
            <v>0</v>
          </cell>
          <cell r="C33">
            <v>58</v>
          </cell>
        </row>
        <row r="34">
          <cell r="A34">
            <v>20821</v>
          </cell>
          <cell r="B34">
            <v>0</v>
          </cell>
          <cell r="C34">
            <v>310</v>
          </cell>
        </row>
        <row r="35">
          <cell r="A35">
            <v>20825</v>
          </cell>
          <cell r="B35">
            <v>0</v>
          </cell>
          <cell r="C35">
            <v>3</v>
          </cell>
        </row>
        <row r="36">
          <cell r="A36">
            <v>20826</v>
          </cell>
          <cell r="B36">
            <v>0</v>
          </cell>
          <cell r="C36">
            <v>535</v>
          </cell>
        </row>
        <row r="37">
          <cell r="A37">
            <v>20828</v>
          </cell>
          <cell r="B37">
            <v>0</v>
          </cell>
          <cell r="C37">
            <v>560</v>
          </cell>
        </row>
        <row r="38">
          <cell r="A38">
            <v>20830</v>
          </cell>
          <cell r="B38">
            <v>0</v>
          </cell>
          <cell r="C38">
            <v>537.7513</v>
          </cell>
        </row>
        <row r="39">
          <cell r="A39">
            <v>20899</v>
          </cell>
          <cell r="B39">
            <v>0</v>
          </cell>
          <cell r="C39">
            <v>60</v>
          </cell>
        </row>
        <row r="40">
          <cell r="A40">
            <v>21002</v>
          </cell>
          <cell r="B40">
            <v>0</v>
          </cell>
          <cell r="C40">
            <v>507.973</v>
          </cell>
        </row>
        <row r="41">
          <cell r="A41">
            <v>21003</v>
          </cell>
          <cell r="B41">
            <v>0</v>
          </cell>
          <cell r="C41">
            <v>581.1678</v>
          </cell>
        </row>
        <row r="42">
          <cell r="A42">
            <v>21004</v>
          </cell>
          <cell r="B42">
            <v>0</v>
          </cell>
          <cell r="C42">
            <v>1117.7965</v>
          </cell>
        </row>
        <row r="43">
          <cell r="A43">
            <v>21007</v>
          </cell>
          <cell r="B43">
            <v>0</v>
          </cell>
          <cell r="C43">
            <v>1300</v>
          </cell>
        </row>
        <row r="44">
          <cell r="A44">
            <v>21011</v>
          </cell>
          <cell r="B44">
            <v>0</v>
          </cell>
          <cell r="C44">
            <v>1600</v>
          </cell>
        </row>
        <row r="45">
          <cell r="A45">
            <v>21013</v>
          </cell>
          <cell r="B45">
            <v>0</v>
          </cell>
          <cell r="C45">
            <v>1237.158</v>
          </cell>
        </row>
        <row r="46">
          <cell r="A46">
            <v>21014</v>
          </cell>
          <cell r="B46">
            <v>0</v>
          </cell>
          <cell r="C46">
            <v>180</v>
          </cell>
        </row>
        <row r="47">
          <cell r="A47">
            <v>21099</v>
          </cell>
          <cell r="B47">
            <v>0</v>
          </cell>
          <cell r="C47">
            <v>1.979005</v>
          </cell>
        </row>
        <row r="48">
          <cell r="A48">
            <v>21201</v>
          </cell>
          <cell r="B48">
            <v>0</v>
          </cell>
          <cell r="C48">
            <v>22.921</v>
          </cell>
        </row>
        <row r="49">
          <cell r="A49">
            <v>21203</v>
          </cell>
          <cell r="B49">
            <v>0</v>
          </cell>
          <cell r="C49">
            <v>72.5</v>
          </cell>
        </row>
        <row r="50">
          <cell r="A50">
            <v>21205</v>
          </cell>
          <cell r="B50">
            <v>0</v>
          </cell>
          <cell r="C50">
            <v>0</v>
          </cell>
        </row>
        <row r="51">
          <cell r="A51">
            <v>21208</v>
          </cell>
          <cell r="B51">
            <v>46938590</v>
          </cell>
          <cell r="C51">
            <v>0</v>
          </cell>
        </row>
        <row r="52">
          <cell r="A52">
            <v>21213</v>
          </cell>
          <cell r="B52">
            <v>4675000</v>
          </cell>
          <cell r="C52">
            <v>0</v>
          </cell>
        </row>
        <row r="53">
          <cell r="A53">
            <v>21301</v>
          </cell>
          <cell r="B53">
            <v>0</v>
          </cell>
          <cell r="C53">
            <v>55.8994</v>
          </cell>
        </row>
        <row r="54">
          <cell r="A54">
            <v>21302</v>
          </cell>
          <cell r="B54">
            <v>0</v>
          </cell>
          <cell r="C54">
            <v>125.4</v>
          </cell>
        </row>
        <row r="55">
          <cell r="A55">
            <v>21305</v>
          </cell>
          <cell r="B55">
            <v>0</v>
          </cell>
          <cell r="C55">
            <v>2910</v>
          </cell>
        </row>
        <row r="56">
          <cell r="A56">
            <v>22001</v>
          </cell>
          <cell r="B56">
            <v>0</v>
          </cell>
          <cell r="C56">
            <v>0</v>
          </cell>
        </row>
        <row r="57">
          <cell r="A57">
            <v>22201</v>
          </cell>
          <cell r="B57">
            <v>0</v>
          </cell>
          <cell r="C57">
            <v>100</v>
          </cell>
        </row>
        <row r="58">
          <cell r="A58">
            <v>22401</v>
          </cell>
          <cell r="B58">
            <v>0</v>
          </cell>
          <cell r="C58">
            <v>215</v>
          </cell>
        </row>
        <row r="59">
          <cell r="A59">
            <v>22402</v>
          </cell>
          <cell r="B59">
            <v>0</v>
          </cell>
          <cell r="C59">
            <v>0</v>
          </cell>
        </row>
        <row r="60">
          <cell r="A60">
            <v>22407</v>
          </cell>
          <cell r="B60">
            <v>0</v>
          </cell>
          <cell r="C60">
            <v>2</v>
          </cell>
        </row>
        <row r="61">
          <cell r="A61">
            <v>22999</v>
          </cell>
          <cell r="B61">
            <v>0</v>
          </cell>
          <cell r="C61">
            <v>1.5</v>
          </cell>
        </row>
      </sheetData>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Sheet3"/>
      <sheetName val="Sheet1"/>
    </sheetNames>
    <sheetDataSet>
      <sheetData sheetId="0"/>
      <sheetData sheetId="1">
        <row r="4">
          <cell r="A4">
            <v>20101</v>
          </cell>
          <cell r="B4">
            <v>6530016.41</v>
          </cell>
          <cell r="C4">
            <v>653.001641</v>
          </cell>
        </row>
        <row r="5">
          <cell r="A5">
            <v>20102</v>
          </cell>
          <cell r="B5">
            <v>4240830.79</v>
          </cell>
          <cell r="C5">
            <v>424.083079</v>
          </cell>
        </row>
        <row r="6">
          <cell r="A6">
            <v>20103</v>
          </cell>
          <cell r="B6">
            <v>95058331.3400001</v>
          </cell>
          <cell r="C6">
            <v>9505.83313400001</v>
          </cell>
        </row>
        <row r="7">
          <cell r="A7">
            <v>20104</v>
          </cell>
          <cell r="B7">
            <v>5679135</v>
          </cell>
          <cell r="C7">
            <v>567.9135</v>
          </cell>
        </row>
        <row r="8">
          <cell r="A8">
            <v>20105</v>
          </cell>
          <cell r="B8">
            <v>3115055.62</v>
          </cell>
          <cell r="C8">
            <v>311.505562</v>
          </cell>
        </row>
        <row r="9">
          <cell r="A9">
            <v>20106</v>
          </cell>
          <cell r="B9">
            <v>10174910.63</v>
          </cell>
          <cell r="C9">
            <v>1017.491063</v>
          </cell>
        </row>
        <row r="10">
          <cell r="A10">
            <v>20108</v>
          </cell>
          <cell r="B10">
            <v>2381727.27</v>
          </cell>
          <cell r="C10">
            <v>238.172727</v>
          </cell>
        </row>
        <row r="11">
          <cell r="A11">
            <v>20111</v>
          </cell>
          <cell r="B11">
            <v>12627499.57</v>
          </cell>
          <cell r="C11">
            <v>1262.749957</v>
          </cell>
        </row>
        <row r="12">
          <cell r="A12">
            <v>20113</v>
          </cell>
          <cell r="B12">
            <v>9330522.55</v>
          </cell>
          <cell r="C12">
            <v>933.052255</v>
          </cell>
        </row>
        <row r="13">
          <cell r="A13">
            <v>20125</v>
          </cell>
          <cell r="B13">
            <v>444652.75</v>
          </cell>
          <cell r="C13">
            <v>44.465275</v>
          </cell>
        </row>
        <row r="14">
          <cell r="A14">
            <v>20126</v>
          </cell>
          <cell r="B14">
            <v>1236603.29</v>
          </cell>
          <cell r="C14">
            <v>123.660329</v>
          </cell>
        </row>
        <row r="15">
          <cell r="A15">
            <v>20128</v>
          </cell>
          <cell r="B15">
            <v>536474.19</v>
          </cell>
          <cell r="C15">
            <v>53.647419</v>
          </cell>
        </row>
        <row r="16">
          <cell r="A16">
            <v>20129</v>
          </cell>
          <cell r="B16">
            <v>4303011.71</v>
          </cell>
          <cell r="C16">
            <v>430.301171</v>
          </cell>
        </row>
        <row r="17">
          <cell r="A17">
            <v>20131</v>
          </cell>
          <cell r="B17">
            <v>11014283.24</v>
          </cell>
          <cell r="C17">
            <v>1101.428324</v>
          </cell>
        </row>
        <row r="18">
          <cell r="A18">
            <v>20132</v>
          </cell>
          <cell r="B18">
            <v>45706272.29</v>
          </cell>
          <cell r="C18">
            <v>4570.627229</v>
          </cell>
        </row>
        <row r="19">
          <cell r="A19">
            <v>20133</v>
          </cell>
          <cell r="B19">
            <v>2729367.77</v>
          </cell>
          <cell r="C19">
            <v>272.936777</v>
          </cell>
        </row>
        <row r="20">
          <cell r="A20">
            <v>20134</v>
          </cell>
          <cell r="B20">
            <v>1918318.53</v>
          </cell>
          <cell r="C20">
            <v>191.831853</v>
          </cell>
        </row>
        <row r="21">
          <cell r="A21">
            <v>20136</v>
          </cell>
          <cell r="B21">
            <v>8321981.45</v>
          </cell>
          <cell r="C21">
            <v>832.198145</v>
          </cell>
        </row>
        <row r="22">
          <cell r="A22">
            <v>20138</v>
          </cell>
          <cell r="B22">
            <v>19164008.18</v>
          </cell>
          <cell r="C22">
            <v>1916.400818</v>
          </cell>
        </row>
        <row r="23">
          <cell r="A23">
            <v>20306</v>
          </cell>
          <cell r="B23">
            <v>1239813.14</v>
          </cell>
          <cell r="C23">
            <v>123.981314</v>
          </cell>
        </row>
        <row r="24">
          <cell r="A24">
            <v>20406</v>
          </cell>
          <cell r="B24">
            <v>11058494.95</v>
          </cell>
          <cell r="C24">
            <v>1105.849495</v>
          </cell>
        </row>
        <row r="25">
          <cell r="A25">
            <v>20501</v>
          </cell>
          <cell r="B25">
            <v>1676918.91</v>
          </cell>
          <cell r="C25">
            <v>167.691891</v>
          </cell>
        </row>
        <row r="26">
          <cell r="A26">
            <v>20502</v>
          </cell>
          <cell r="B26">
            <v>422323450.14</v>
          </cell>
          <cell r="C26">
            <v>42232.345014</v>
          </cell>
        </row>
        <row r="27">
          <cell r="A27">
            <v>20507</v>
          </cell>
          <cell r="B27">
            <v>2196020.16</v>
          </cell>
          <cell r="C27">
            <v>219.602016</v>
          </cell>
        </row>
        <row r="28">
          <cell r="A28">
            <v>20508</v>
          </cell>
          <cell r="B28">
            <v>2877465.97</v>
          </cell>
          <cell r="C28">
            <v>287.746597</v>
          </cell>
        </row>
        <row r="29">
          <cell r="A29">
            <v>20599</v>
          </cell>
          <cell r="B29">
            <v>7102577.3</v>
          </cell>
          <cell r="C29">
            <v>710.25773</v>
          </cell>
        </row>
        <row r="30">
          <cell r="A30">
            <v>20601</v>
          </cell>
          <cell r="B30">
            <v>1193658.83</v>
          </cell>
          <cell r="C30">
            <v>119.365883</v>
          </cell>
        </row>
        <row r="31">
          <cell r="A31">
            <v>20604</v>
          </cell>
          <cell r="B31">
            <v>1636665.02</v>
          </cell>
          <cell r="C31">
            <v>163.666502</v>
          </cell>
        </row>
        <row r="32">
          <cell r="A32">
            <v>20607</v>
          </cell>
          <cell r="B32">
            <v>866322.55</v>
          </cell>
          <cell r="C32">
            <v>86.632255</v>
          </cell>
        </row>
        <row r="33">
          <cell r="A33">
            <v>20701</v>
          </cell>
          <cell r="B33">
            <v>8606836.52</v>
          </cell>
          <cell r="C33">
            <v>860.683652</v>
          </cell>
        </row>
        <row r="34">
          <cell r="A34">
            <v>20702</v>
          </cell>
          <cell r="B34">
            <v>551911.57</v>
          </cell>
          <cell r="C34">
            <v>55.191157</v>
          </cell>
        </row>
        <row r="35">
          <cell r="A35">
            <v>20703</v>
          </cell>
          <cell r="B35">
            <v>1419845.63</v>
          </cell>
          <cell r="C35">
            <v>141.984563</v>
          </cell>
        </row>
        <row r="36">
          <cell r="A36">
            <v>20706</v>
          </cell>
          <cell r="B36">
            <v>5134225.44</v>
          </cell>
          <cell r="C36">
            <v>513.422544</v>
          </cell>
        </row>
        <row r="37">
          <cell r="A37">
            <v>20708</v>
          </cell>
          <cell r="B37">
            <v>380078.92</v>
          </cell>
          <cell r="C37">
            <v>38.007892</v>
          </cell>
        </row>
        <row r="38">
          <cell r="A38">
            <v>20801</v>
          </cell>
          <cell r="B38">
            <v>19801235.85</v>
          </cell>
          <cell r="C38">
            <v>1980.123585</v>
          </cell>
        </row>
        <row r="39">
          <cell r="A39">
            <v>20802</v>
          </cell>
          <cell r="B39">
            <v>3717707.26</v>
          </cell>
          <cell r="C39">
            <v>371.770726</v>
          </cell>
        </row>
        <row r="40">
          <cell r="A40">
            <v>20805</v>
          </cell>
          <cell r="B40">
            <v>250315630.52</v>
          </cell>
          <cell r="C40">
            <v>25031.563052</v>
          </cell>
        </row>
        <row r="41">
          <cell r="A41">
            <v>20810</v>
          </cell>
          <cell r="B41">
            <v>721896.27</v>
          </cell>
          <cell r="C41">
            <v>72.189627</v>
          </cell>
        </row>
        <row r="42">
          <cell r="A42">
            <v>20811</v>
          </cell>
          <cell r="B42">
            <v>1252663.23</v>
          </cell>
          <cell r="C42">
            <v>125.266323</v>
          </cell>
        </row>
        <row r="43">
          <cell r="A43">
            <v>20816</v>
          </cell>
          <cell r="B43">
            <v>601960.27</v>
          </cell>
          <cell r="C43">
            <v>60.196027</v>
          </cell>
        </row>
        <row r="44">
          <cell r="A44">
            <v>20828</v>
          </cell>
          <cell r="B44">
            <v>4023117.2</v>
          </cell>
          <cell r="C44">
            <v>402.31172</v>
          </cell>
        </row>
        <row r="45">
          <cell r="A45">
            <v>21001</v>
          </cell>
          <cell r="B45">
            <v>5145012.6</v>
          </cell>
          <cell r="C45">
            <v>514.50126</v>
          </cell>
        </row>
        <row r="46">
          <cell r="A46">
            <v>21002</v>
          </cell>
          <cell r="B46">
            <v>8327217.54</v>
          </cell>
          <cell r="C46">
            <v>832.721754</v>
          </cell>
        </row>
        <row r="47">
          <cell r="A47">
            <v>21003</v>
          </cell>
          <cell r="B47">
            <v>29694807.6</v>
          </cell>
          <cell r="C47">
            <v>2969.48076</v>
          </cell>
        </row>
        <row r="48">
          <cell r="A48">
            <v>21004</v>
          </cell>
          <cell r="B48">
            <v>15392203.02</v>
          </cell>
          <cell r="C48">
            <v>1539.220302</v>
          </cell>
        </row>
        <row r="49">
          <cell r="A49">
            <v>21007</v>
          </cell>
          <cell r="B49">
            <v>8766523.49</v>
          </cell>
          <cell r="C49">
            <v>876.652349</v>
          </cell>
        </row>
        <row r="50">
          <cell r="A50">
            <v>21011</v>
          </cell>
          <cell r="B50">
            <v>59379644.06</v>
          </cell>
          <cell r="C50">
            <v>5937.964406</v>
          </cell>
        </row>
        <row r="51">
          <cell r="A51">
            <v>21015</v>
          </cell>
          <cell r="B51">
            <v>4888215.54</v>
          </cell>
          <cell r="C51">
            <v>488.821554</v>
          </cell>
        </row>
        <row r="52">
          <cell r="A52">
            <v>21201</v>
          </cell>
          <cell r="B52">
            <v>29820194.57</v>
          </cell>
          <cell r="C52">
            <v>2982.019457</v>
          </cell>
        </row>
        <row r="53">
          <cell r="A53">
            <v>21202</v>
          </cell>
          <cell r="B53">
            <v>1666296.25</v>
          </cell>
          <cell r="C53">
            <v>166.629625</v>
          </cell>
        </row>
        <row r="54">
          <cell r="A54">
            <v>21205</v>
          </cell>
          <cell r="B54">
            <v>53440259.82</v>
          </cell>
          <cell r="C54">
            <v>5344.025982</v>
          </cell>
        </row>
        <row r="55">
          <cell r="A55">
            <v>21301</v>
          </cell>
          <cell r="B55">
            <v>49988926.98</v>
          </cell>
          <cell r="C55">
            <v>4998.892698</v>
          </cell>
        </row>
        <row r="56">
          <cell r="A56">
            <v>21302</v>
          </cell>
          <cell r="B56">
            <v>13798230.92</v>
          </cell>
          <cell r="C56">
            <v>1379.823092</v>
          </cell>
        </row>
        <row r="57">
          <cell r="A57">
            <v>21303</v>
          </cell>
          <cell r="B57">
            <v>8999994.68</v>
          </cell>
          <cell r="C57">
            <v>899.999468</v>
          </cell>
        </row>
        <row r="58">
          <cell r="A58">
            <v>21305</v>
          </cell>
          <cell r="B58">
            <v>6774428.17</v>
          </cell>
          <cell r="C58">
            <v>677.442817</v>
          </cell>
        </row>
        <row r="59">
          <cell r="A59">
            <v>21401</v>
          </cell>
          <cell r="B59">
            <v>6922180.24</v>
          </cell>
          <cell r="C59">
            <v>692.218024</v>
          </cell>
        </row>
        <row r="60">
          <cell r="A60">
            <v>21505</v>
          </cell>
          <cell r="B60">
            <v>3468839.88</v>
          </cell>
          <cell r="C60">
            <v>346.883988</v>
          </cell>
        </row>
        <row r="61">
          <cell r="A61">
            <v>21602</v>
          </cell>
          <cell r="B61">
            <v>2185917.2</v>
          </cell>
          <cell r="C61">
            <v>218.59172</v>
          </cell>
        </row>
        <row r="62">
          <cell r="A62">
            <v>22001</v>
          </cell>
          <cell r="B62">
            <v>10953310.21</v>
          </cell>
          <cell r="C62">
            <v>1095.331021</v>
          </cell>
        </row>
        <row r="63">
          <cell r="A63">
            <v>22005</v>
          </cell>
          <cell r="B63">
            <v>356612.14</v>
          </cell>
          <cell r="C63">
            <v>35.661214</v>
          </cell>
        </row>
        <row r="64">
          <cell r="A64">
            <v>22102</v>
          </cell>
          <cell r="B64">
            <v>90806430.7100001</v>
          </cell>
          <cell r="C64">
            <v>9080.64307100001</v>
          </cell>
        </row>
        <row r="65">
          <cell r="A65">
            <v>22201</v>
          </cell>
          <cell r="B65">
            <v>618580.16</v>
          </cell>
          <cell r="C65">
            <v>61.858016</v>
          </cell>
        </row>
        <row r="66">
          <cell r="A66">
            <v>22401</v>
          </cell>
          <cell r="B66">
            <v>6744688.36</v>
          </cell>
          <cell r="C66">
            <v>674.468836</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workbookViewId="0">
      <selection activeCell="A5" sqref="A5"/>
    </sheetView>
  </sheetViews>
  <sheetFormatPr defaultColWidth="9" defaultRowHeight="14.25"/>
  <cols>
    <col min="1" max="9" width="9" style="129"/>
    <col min="10" max="10" width="16.75" style="129" customWidth="1"/>
    <col min="11" max="16384" width="9" style="129"/>
  </cols>
  <sheetData>
    <row r="1" s="129" customFormat="1" spans="1:12">
      <c r="A1" s="384"/>
      <c r="B1" s="385"/>
      <c r="C1" s="385"/>
      <c r="D1" s="385"/>
      <c r="E1" s="385"/>
      <c r="F1" s="385"/>
      <c r="G1" s="385"/>
      <c r="H1" s="385"/>
      <c r="I1" s="385"/>
      <c r="J1" s="385"/>
      <c r="K1" s="385"/>
      <c r="L1" s="385"/>
    </row>
    <row r="2" s="129" customFormat="1" spans="1:12">
      <c r="A2" s="385"/>
      <c r="B2" s="385"/>
      <c r="C2" s="385"/>
      <c r="D2" s="385"/>
      <c r="E2" s="385"/>
      <c r="F2" s="385"/>
      <c r="G2" s="385"/>
      <c r="H2" s="385"/>
      <c r="I2" s="385"/>
      <c r="J2" s="385"/>
      <c r="K2" s="385"/>
      <c r="L2" s="385"/>
    </row>
    <row r="3" s="129" customFormat="1" ht="28.5" spans="1:12">
      <c r="A3" s="385"/>
      <c r="B3" s="385"/>
      <c r="C3" s="386" t="s">
        <v>0</v>
      </c>
      <c r="D3" s="386"/>
      <c r="E3" s="386"/>
      <c r="F3" s="386"/>
      <c r="G3" s="386"/>
      <c r="H3" s="386"/>
      <c r="I3" s="386"/>
      <c r="J3" s="386"/>
      <c r="K3" s="386"/>
      <c r="L3" s="386"/>
    </row>
    <row r="4" s="129" customFormat="1" spans="1:12">
      <c r="A4" s="385"/>
      <c r="B4" s="385"/>
      <c r="C4" s="385"/>
      <c r="D4" s="385"/>
      <c r="E4" s="385"/>
      <c r="F4" s="385"/>
      <c r="G4" s="385"/>
      <c r="H4" s="385"/>
      <c r="I4" s="385"/>
      <c r="J4" s="385"/>
      <c r="K4" s="385"/>
      <c r="L4" s="385"/>
    </row>
    <row r="5" s="129" customFormat="1" spans="1:12">
      <c r="A5" s="385"/>
      <c r="B5" s="385"/>
      <c r="C5" s="385"/>
      <c r="D5" s="385"/>
      <c r="E5" s="385"/>
      <c r="F5" s="385"/>
      <c r="G5" s="385"/>
      <c r="H5" s="385"/>
      <c r="I5" s="385"/>
      <c r="J5" s="385"/>
      <c r="K5" s="385"/>
      <c r="L5" s="385"/>
    </row>
    <row r="6" s="129" customFormat="1" spans="1:12">
      <c r="A6" s="385"/>
      <c r="B6" s="385"/>
      <c r="C6" s="385"/>
      <c r="D6" s="385"/>
      <c r="E6" s="385"/>
      <c r="F6" s="385"/>
      <c r="G6" s="385"/>
      <c r="H6" s="385"/>
      <c r="I6" s="385"/>
      <c r="J6" s="385"/>
      <c r="K6" s="385"/>
      <c r="L6" s="385"/>
    </row>
    <row r="7" s="129" customFormat="1" spans="1:12">
      <c r="A7" s="385"/>
      <c r="B7" s="385"/>
      <c r="C7" s="385"/>
      <c r="D7" s="385"/>
      <c r="E7" s="385"/>
      <c r="F7" s="385"/>
      <c r="G7" s="385"/>
      <c r="H7" s="385"/>
      <c r="I7" s="385"/>
      <c r="J7" s="385"/>
      <c r="K7" s="385"/>
      <c r="L7" s="385"/>
    </row>
    <row r="8" s="129" customFormat="1" ht="20.25" spans="1:12">
      <c r="A8" s="385"/>
      <c r="B8" s="385"/>
      <c r="C8" s="387" t="s">
        <v>1</v>
      </c>
      <c r="D8" s="385"/>
      <c r="E8" s="385"/>
      <c r="F8" s="385"/>
      <c r="G8" s="385"/>
      <c r="H8" s="385"/>
      <c r="I8" s="385"/>
      <c r="J8" s="385"/>
      <c r="K8" s="385"/>
      <c r="L8" s="385"/>
    </row>
    <row r="9" s="129" customFormat="1" ht="20.25" spans="1:12">
      <c r="A9" s="385"/>
      <c r="B9" s="385"/>
      <c r="C9" s="387"/>
      <c r="D9" s="385"/>
      <c r="E9" s="385"/>
      <c r="F9" s="385"/>
      <c r="G9" s="385"/>
      <c r="H9" s="385"/>
      <c r="I9" s="385"/>
      <c r="J9" s="385"/>
      <c r="K9" s="385"/>
      <c r="L9" s="385"/>
    </row>
    <row r="10" s="129" customFormat="1" ht="20.25" spans="1:12">
      <c r="A10" s="385"/>
      <c r="B10" s="385"/>
      <c r="C10" s="387" t="s">
        <v>2</v>
      </c>
      <c r="D10" s="385"/>
      <c r="E10" s="385"/>
      <c r="F10" s="385"/>
      <c r="G10" s="385"/>
      <c r="H10" s="385"/>
      <c r="I10" s="385"/>
      <c r="J10" s="385"/>
      <c r="K10" s="385"/>
      <c r="L10" s="385"/>
    </row>
    <row r="11" s="129" customFormat="1" ht="20.25" spans="1:12">
      <c r="A11" s="385"/>
      <c r="B11" s="385"/>
      <c r="C11" s="387"/>
      <c r="D11" s="385"/>
      <c r="E11" s="385"/>
      <c r="F11" s="385"/>
      <c r="G11" s="385"/>
      <c r="H11" s="385"/>
      <c r="I11" s="385"/>
      <c r="J11" s="385"/>
      <c r="K11" s="385"/>
      <c r="L11" s="385"/>
    </row>
    <row r="12" s="129" customFormat="1" ht="20.25" spans="1:12">
      <c r="A12" s="385"/>
      <c r="B12" s="385"/>
      <c r="C12" s="387" t="s">
        <v>3</v>
      </c>
      <c r="D12" s="385"/>
      <c r="E12" s="385"/>
      <c r="F12" s="385"/>
      <c r="G12" s="385"/>
      <c r="H12" s="385"/>
      <c r="I12" s="385"/>
      <c r="J12" s="385"/>
      <c r="K12" s="385"/>
      <c r="L12" s="385"/>
    </row>
    <row r="13" s="129" customFormat="1" ht="20.25" spans="1:12">
      <c r="A13" s="385"/>
      <c r="B13" s="385"/>
      <c r="C13" s="387"/>
      <c r="D13" s="385"/>
      <c r="E13" s="385"/>
      <c r="F13" s="385"/>
      <c r="G13" s="385"/>
      <c r="H13" s="385"/>
      <c r="I13" s="385"/>
      <c r="J13" s="385"/>
      <c r="K13" s="385"/>
      <c r="L13" s="385"/>
    </row>
    <row r="14" s="129" customFormat="1" ht="20.25" spans="1:12">
      <c r="A14" s="385"/>
      <c r="B14" s="385"/>
      <c r="C14" s="387" t="s">
        <v>4</v>
      </c>
      <c r="D14" s="385"/>
      <c r="E14" s="385"/>
      <c r="F14" s="385"/>
      <c r="G14" s="385"/>
      <c r="H14" s="385"/>
      <c r="I14" s="385"/>
      <c r="J14" s="385"/>
      <c r="K14" s="385"/>
      <c r="L14" s="385"/>
    </row>
    <row r="15" s="129" customFormat="1" ht="20.25" spans="1:12">
      <c r="A15" s="385"/>
      <c r="B15" s="385"/>
      <c r="C15" s="387"/>
      <c r="D15" s="385"/>
      <c r="E15" s="385"/>
      <c r="F15" s="385"/>
      <c r="G15" s="385"/>
      <c r="H15" s="385"/>
      <c r="I15" s="385"/>
      <c r="J15" s="385"/>
      <c r="K15" s="385"/>
      <c r="L15" s="385"/>
    </row>
    <row r="16" s="129" customFormat="1" ht="20.25" spans="1:12">
      <c r="A16" s="385"/>
      <c r="B16" s="385"/>
      <c r="C16" s="387" t="s">
        <v>5</v>
      </c>
      <c r="D16" s="385"/>
      <c r="E16" s="385"/>
      <c r="F16" s="385"/>
      <c r="G16" s="385"/>
      <c r="H16" s="385"/>
      <c r="I16" s="385"/>
      <c r="J16" s="385"/>
      <c r="K16" s="385"/>
      <c r="L16" s="385"/>
    </row>
    <row r="17" s="129" customFormat="1" ht="20.25" spans="1:12">
      <c r="A17" s="385"/>
      <c r="B17" s="385"/>
      <c r="C17" s="387"/>
      <c r="D17" s="385"/>
      <c r="E17" s="385"/>
      <c r="F17" s="385"/>
      <c r="G17" s="385"/>
      <c r="H17" s="385"/>
      <c r="I17" s="385"/>
      <c r="J17" s="385"/>
      <c r="K17" s="385"/>
      <c r="L17" s="385"/>
    </row>
    <row r="18" s="129" customFormat="1" ht="20.25" spans="1:12">
      <c r="A18" s="385"/>
      <c r="B18" s="385"/>
      <c r="C18" s="387" t="s">
        <v>6</v>
      </c>
      <c r="D18" s="385"/>
      <c r="E18" s="385"/>
      <c r="F18" s="385"/>
      <c r="G18" s="385"/>
      <c r="H18" s="385"/>
      <c r="I18" s="385"/>
      <c r="J18" s="385"/>
      <c r="K18" s="385"/>
      <c r="L18" s="385"/>
    </row>
    <row r="19" s="129" customFormat="1" ht="20.25" spans="1:12">
      <c r="A19" s="385"/>
      <c r="B19" s="385"/>
      <c r="C19" s="387"/>
      <c r="D19" s="385"/>
      <c r="E19" s="385"/>
      <c r="F19" s="385"/>
      <c r="G19" s="385"/>
      <c r="H19" s="385"/>
      <c r="I19" s="385"/>
      <c r="J19" s="385"/>
      <c r="K19" s="385"/>
      <c r="L19" s="385"/>
    </row>
    <row r="20" s="129" customFormat="1" ht="20.25" spans="1:12">
      <c r="A20" s="385"/>
      <c r="B20" s="385"/>
      <c r="C20" s="387" t="s">
        <v>7</v>
      </c>
      <c r="D20" s="385"/>
      <c r="E20" s="385"/>
      <c r="F20" s="385"/>
      <c r="G20" s="385"/>
      <c r="H20" s="385"/>
      <c r="I20" s="385"/>
      <c r="J20" s="385"/>
      <c r="K20" s="385"/>
      <c r="L20" s="385"/>
    </row>
    <row r="21" s="129" customFormat="1" ht="20.25" spans="1:12">
      <c r="A21" s="385"/>
      <c r="B21" s="385"/>
      <c r="C21" s="387"/>
      <c r="D21" s="385"/>
      <c r="E21" s="385"/>
      <c r="F21" s="385"/>
      <c r="G21" s="385"/>
      <c r="H21" s="385"/>
      <c r="I21" s="385"/>
      <c r="J21" s="385"/>
      <c r="K21" s="385"/>
      <c r="L21" s="385"/>
    </row>
    <row r="22" s="129" customFormat="1" ht="20.25" spans="1:12">
      <c r="A22" s="385"/>
      <c r="B22" s="385"/>
      <c r="C22" s="387" t="s">
        <v>8</v>
      </c>
      <c r="D22" s="385"/>
      <c r="E22" s="385"/>
      <c r="F22" s="385"/>
      <c r="G22" s="385"/>
      <c r="H22" s="385"/>
      <c r="I22" s="385"/>
      <c r="J22" s="385"/>
      <c r="K22" s="385"/>
      <c r="L22" s="385"/>
    </row>
    <row r="23" s="129" customFormat="1" ht="20.25" spans="1:12">
      <c r="A23" s="385"/>
      <c r="B23" s="385"/>
      <c r="C23" s="387"/>
      <c r="D23" s="385"/>
      <c r="E23" s="385"/>
      <c r="F23" s="385"/>
      <c r="G23" s="385"/>
      <c r="H23" s="385"/>
      <c r="I23" s="385"/>
      <c r="J23" s="385"/>
      <c r="K23" s="385"/>
      <c r="L23" s="385"/>
    </row>
    <row r="24" s="129" customFormat="1" ht="20.25" spans="1:12">
      <c r="A24" s="385"/>
      <c r="B24" s="385"/>
      <c r="C24" s="387" t="s">
        <v>9</v>
      </c>
      <c r="D24" s="385"/>
      <c r="E24" s="385"/>
      <c r="F24" s="385"/>
      <c r="G24" s="385"/>
      <c r="H24" s="385"/>
      <c r="I24" s="385"/>
      <c r="J24" s="385"/>
      <c r="K24" s="385"/>
      <c r="L24" s="385"/>
    </row>
    <row r="25" s="129" customFormat="1" ht="20.25" spans="1:12">
      <c r="A25" s="385"/>
      <c r="B25" s="385"/>
      <c r="C25" s="388"/>
      <c r="D25" s="385"/>
      <c r="E25" s="385"/>
      <c r="F25" s="385"/>
      <c r="G25" s="385"/>
      <c r="H25" s="385"/>
      <c r="I25" s="385"/>
      <c r="J25" s="385"/>
      <c r="K25" s="385"/>
      <c r="L25" s="385"/>
    </row>
    <row r="26" s="129" customFormat="1" spans="1:12">
      <c r="A26" s="385"/>
      <c r="B26" s="385"/>
      <c r="C26" s="385"/>
      <c r="D26" s="385"/>
      <c r="E26" s="385"/>
      <c r="F26" s="385"/>
      <c r="G26" s="385"/>
      <c r="H26" s="385"/>
      <c r="I26" s="385"/>
      <c r="J26" s="385"/>
      <c r="K26" s="385"/>
      <c r="L26" s="385"/>
    </row>
    <row r="27" s="129" customFormat="1" ht="22.5" spans="1:12">
      <c r="A27" s="385"/>
      <c r="B27" s="385"/>
      <c r="C27" s="385"/>
      <c r="D27" s="385"/>
      <c r="E27" s="385"/>
      <c r="F27" s="385"/>
      <c r="G27" s="385"/>
      <c r="H27" s="385"/>
      <c r="I27" s="389" t="s">
        <v>10</v>
      </c>
      <c r="J27" s="389"/>
      <c r="K27" s="389"/>
      <c r="L27" s="385"/>
    </row>
    <row r="28" s="129" customFormat="1" ht="22.5" spans="1:12">
      <c r="A28" s="385"/>
      <c r="B28" s="385"/>
      <c r="C28" s="385"/>
      <c r="D28" s="385"/>
      <c r="E28" s="385"/>
      <c r="F28" s="385"/>
      <c r="G28" s="385"/>
      <c r="H28" s="385"/>
      <c r="I28" s="390"/>
      <c r="J28" s="391">
        <v>45299</v>
      </c>
      <c r="K28" s="392"/>
      <c r="L28" s="385"/>
    </row>
  </sheetData>
  <mergeCells count="2">
    <mergeCell ref="C3:L3"/>
    <mergeCell ref="I27:K27"/>
  </mergeCells>
  <pageMargins left="0.751388888888889" right="0.751388888888889" top="1" bottom="1" header="0.5" footer="0.5"/>
  <pageSetup paperSize="9" scale="81"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showZeros="0" workbookViewId="0">
      <selection activeCell="C22" sqref="C22"/>
    </sheetView>
  </sheetViews>
  <sheetFormatPr defaultColWidth="9" defaultRowHeight="14.25" outlineLevelCol="6"/>
  <cols>
    <col min="1" max="1" width="42.875" style="3" customWidth="1"/>
    <col min="2" max="3" width="12.4" style="3" customWidth="1"/>
    <col min="4" max="4" width="16.6" style="3" customWidth="1"/>
    <col min="5" max="6" width="12.4" style="3" customWidth="1"/>
    <col min="7" max="7" width="10.9" style="3" customWidth="1"/>
    <col min="8" max="16384" width="9" style="3"/>
  </cols>
  <sheetData>
    <row r="1" s="1" customFormat="1" ht="21" customHeight="1" spans="1:7">
      <c r="A1" s="4" t="s">
        <v>531</v>
      </c>
      <c r="B1" s="4"/>
      <c r="C1" s="4"/>
      <c r="D1" s="4"/>
      <c r="E1" s="4"/>
      <c r="F1" s="4"/>
      <c r="G1" s="4"/>
    </row>
    <row r="2" s="1" customFormat="1" ht="15" customHeight="1" spans="1:7">
      <c r="A2" s="5"/>
      <c r="B2" s="6"/>
      <c r="C2" s="7"/>
      <c r="D2" s="6"/>
      <c r="E2" s="6"/>
      <c r="F2" s="8" t="s">
        <v>514</v>
      </c>
      <c r="G2" s="8"/>
    </row>
    <row r="3" s="1" customFormat="1" ht="18" customHeight="1" spans="1:7">
      <c r="A3" s="9" t="s">
        <v>532</v>
      </c>
      <c r="B3" s="10" t="s">
        <v>453</v>
      </c>
      <c r="C3" s="10" t="s">
        <v>454</v>
      </c>
      <c r="D3" s="10"/>
      <c r="E3" s="11"/>
      <c r="F3" s="10" t="s">
        <v>455</v>
      </c>
      <c r="G3" s="10"/>
    </row>
    <row r="4" s="1" customFormat="1" ht="24" customHeight="1" spans="1:7">
      <c r="A4" s="12"/>
      <c r="B4" s="10"/>
      <c r="C4" s="13" t="s">
        <v>517</v>
      </c>
      <c r="D4" s="14" t="s">
        <v>18</v>
      </c>
      <c r="E4" s="15" t="s">
        <v>518</v>
      </c>
      <c r="F4" s="13" t="s">
        <v>517</v>
      </c>
      <c r="G4" s="15" t="s">
        <v>518</v>
      </c>
    </row>
    <row r="5" s="2" customFormat="1" ht="15" customHeight="1" spans="1:7">
      <c r="A5" s="16" t="s">
        <v>533</v>
      </c>
      <c r="B5" s="17">
        <f t="shared" ref="B5:D5" si="0">B6+B13</f>
        <v>33488</v>
      </c>
      <c r="C5" s="17">
        <f t="shared" si="0"/>
        <v>48590.43</v>
      </c>
      <c r="D5" s="17">
        <f t="shared" si="0"/>
        <v>41118</v>
      </c>
      <c r="E5" s="18">
        <f t="shared" ref="E5:E16" si="1">(D5-B5)/B5*100</f>
        <v>22.7842809364548</v>
      </c>
      <c r="F5" s="17">
        <f>F6+F13</f>
        <v>56964</v>
      </c>
      <c r="G5" s="18">
        <f t="shared" ref="G5:G36" si="2">(F5-D5)/D5*100</f>
        <v>38.5378666277543</v>
      </c>
    </row>
    <row r="6" s="2" customFormat="1" ht="15" customHeight="1" spans="1:7">
      <c r="A6" s="19" t="s">
        <v>534</v>
      </c>
      <c r="B6" s="17">
        <f t="shared" ref="B6:D6" si="3">SUM(B7:B12)</f>
        <v>7403</v>
      </c>
      <c r="C6" s="17">
        <f t="shared" si="3"/>
        <v>18369.43</v>
      </c>
      <c r="D6" s="17">
        <f t="shared" si="3"/>
        <v>9991</v>
      </c>
      <c r="E6" s="18">
        <f t="shared" si="1"/>
        <v>34.9588004862893</v>
      </c>
      <c r="F6" s="17">
        <f>SUM(F7:F12)</f>
        <v>22485</v>
      </c>
      <c r="G6" s="18">
        <f t="shared" si="2"/>
        <v>125.052547292563</v>
      </c>
    </row>
    <row r="7" s="1" customFormat="1" ht="15" customHeight="1" spans="1:7">
      <c r="A7" s="20" t="s">
        <v>535</v>
      </c>
      <c r="B7" s="21">
        <v>3943</v>
      </c>
      <c r="C7" s="21">
        <v>4334.02</v>
      </c>
      <c r="D7" s="21">
        <v>4807</v>
      </c>
      <c r="E7" s="22">
        <f t="shared" si="1"/>
        <v>21.9122495561755</v>
      </c>
      <c r="F7" s="21">
        <v>4700</v>
      </c>
      <c r="G7" s="22">
        <f t="shared" si="2"/>
        <v>-2.22592053255669</v>
      </c>
    </row>
    <row r="8" s="1" customFormat="1" ht="15" customHeight="1" spans="1:7">
      <c r="A8" s="20" t="s">
        <v>536</v>
      </c>
      <c r="B8" s="21">
        <v>3320</v>
      </c>
      <c r="C8" s="21">
        <v>13192</v>
      </c>
      <c r="D8" s="21">
        <v>4312</v>
      </c>
      <c r="E8" s="22">
        <f t="shared" si="1"/>
        <v>29.8795180722892</v>
      </c>
      <c r="F8" s="21">
        <v>16926</v>
      </c>
      <c r="G8" s="22">
        <f t="shared" si="2"/>
        <v>292.532467532468</v>
      </c>
    </row>
    <row r="9" s="1" customFormat="1" ht="15" customHeight="1" spans="1:7">
      <c r="A9" s="20" t="s">
        <v>537</v>
      </c>
      <c r="B9" s="21">
        <v>18</v>
      </c>
      <c r="C9" s="21">
        <v>8.09</v>
      </c>
      <c r="D9" s="21">
        <v>8</v>
      </c>
      <c r="E9" s="22">
        <f t="shared" si="1"/>
        <v>-55.5555555555556</v>
      </c>
      <c r="F9" s="21">
        <v>8</v>
      </c>
      <c r="G9" s="22">
        <f t="shared" si="2"/>
        <v>0</v>
      </c>
    </row>
    <row r="10" s="1" customFormat="1" ht="15" customHeight="1" spans="1:7">
      <c r="A10" s="20" t="s">
        <v>538</v>
      </c>
      <c r="B10" s="21">
        <v>27</v>
      </c>
      <c r="C10" s="21">
        <v>16</v>
      </c>
      <c r="D10" s="21">
        <v>19</v>
      </c>
      <c r="E10" s="22">
        <f t="shared" si="1"/>
        <v>-29.6296296296296</v>
      </c>
      <c r="F10" s="21">
        <v>16</v>
      </c>
      <c r="G10" s="22">
        <f t="shared" si="2"/>
        <v>-15.7894736842105</v>
      </c>
    </row>
    <row r="11" s="1" customFormat="1" ht="15" customHeight="1" spans="1:7">
      <c r="A11" s="20" t="s">
        <v>539</v>
      </c>
      <c r="B11" s="21">
        <v>13</v>
      </c>
      <c r="C11" s="23">
        <v>28</v>
      </c>
      <c r="D11" s="21">
        <v>38</v>
      </c>
      <c r="E11" s="22">
        <f t="shared" si="1"/>
        <v>192.307692307692</v>
      </c>
      <c r="F11" s="23">
        <v>28</v>
      </c>
      <c r="G11" s="22">
        <f t="shared" si="2"/>
        <v>-26.3157894736842</v>
      </c>
    </row>
    <row r="12" s="1" customFormat="1" ht="15" customHeight="1" spans="1:7">
      <c r="A12" s="24" t="s">
        <v>540</v>
      </c>
      <c r="B12" s="25">
        <v>82</v>
      </c>
      <c r="C12" s="25">
        <v>791.32</v>
      </c>
      <c r="D12" s="25">
        <v>807</v>
      </c>
      <c r="E12" s="22">
        <f t="shared" si="1"/>
        <v>884.146341463415</v>
      </c>
      <c r="F12" s="25">
        <v>807</v>
      </c>
      <c r="G12" s="22">
        <f t="shared" si="2"/>
        <v>0</v>
      </c>
    </row>
    <row r="13" s="2" customFormat="1" ht="15" customHeight="1" spans="1:7">
      <c r="A13" s="19" t="s">
        <v>541</v>
      </c>
      <c r="B13" s="26">
        <f t="shared" ref="B13:D13" si="4">SUM(B14:B18)</f>
        <v>26085</v>
      </c>
      <c r="C13" s="26">
        <f t="shared" si="4"/>
        <v>30221</v>
      </c>
      <c r="D13" s="26">
        <f t="shared" si="4"/>
        <v>31127</v>
      </c>
      <c r="E13" s="18">
        <f t="shared" si="1"/>
        <v>19.3291163503929</v>
      </c>
      <c r="F13" s="26">
        <f>SUM(F14:F18)</f>
        <v>34479</v>
      </c>
      <c r="G13" s="18">
        <f t="shared" si="2"/>
        <v>10.7687859414656</v>
      </c>
    </row>
    <row r="14" s="1" customFormat="1" ht="15" customHeight="1" spans="1:7">
      <c r="A14" s="20" t="s">
        <v>535</v>
      </c>
      <c r="B14" s="25">
        <v>15731</v>
      </c>
      <c r="C14" s="27">
        <v>18228</v>
      </c>
      <c r="D14" s="25">
        <v>18365</v>
      </c>
      <c r="E14" s="22">
        <f t="shared" si="1"/>
        <v>16.7440086453499</v>
      </c>
      <c r="F14" s="28">
        <f>19618+1574</f>
        <v>21192</v>
      </c>
      <c r="G14" s="22">
        <f t="shared" si="2"/>
        <v>15.393411380343</v>
      </c>
    </row>
    <row r="15" s="1" customFormat="1" ht="15" customHeight="1" spans="1:7">
      <c r="A15" s="20" t="s">
        <v>536</v>
      </c>
      <c r="B15" s="25">
        <v>10192</v>
      </c>
      <c r="C15" s="27">
        <v>11562</v>
      </c>
      <c r="D15" s="25">
        <v>12186</v>
      </c>
      <c r="E15" s="22">
        <f t="shared" si="1"/>
        <v>19.5643642072213</v>
      </c>
      <c r="F15" s="28">
        <f>14500-1574</f>
        <v>12926</v>
      </c>
      <c r="G15" s="22">
        <f t="shared" si="2"/>
        <v>6.07254226161169</v>
      </c>
    </row>
    <row r="16" s="1" customFormat="1" ht="15" customHeight="1" spans="1:7">
      <c r="A16" s="20" t="s">
        <v>537</v>
      </c>
      <c r="B16" s="25">
        <v>24</v>
      </c>
      <c r="C16" s="29">
        <v>13</v>
      </c>
      <c r="D16" s="25">
        <v>13</v>
      </c>
      <c r="E16" s="22">
        <f t="shared" si="1"/>
        <v>-45.8333333333333</v>
      </c>
      <c r="F16" s="30">
        <v>15</v>
      </c>
      <c r="G16" s="22">
        <f t="shared" si="2"/>
        <v>15.3846153846154</v>
      </c>
    </row>
    <row r="17" s="1" customFormat="1" ht="15" customHeight="1" spans="1:7">
      <c r="A17" s="20" t="s">
        <v>538</v>
      </c>
      <c r="B17" s="25"/>
      <c r="C17" s="29">
        <v>14</v>
      </c>
      <c r="D17" s="25">
        <v>14</v>
      </c>
      <c r="E17" s="22"/>
      <c r="F17" s="30">
        <v>16</v>
      </c>
      <c r="G17" s="22">
        <f t="shared" si="2"/>
        <v>14.2857142857143</v>
      </c>
    </row>
    <row r="18" s="1" customFormat="1" ht="15" customHeight="1" spans="1:7">
      <c r="A18" s="20" t="s">
        <v>539</v>
      </c>
      <c r="B18" s="25">
        <v>138</v>
      </c>
      <c r="C18" s="29">
        <v>404</v>
      </c>
      <c r="D18" s="25">
        <v>549</v>
      </c>
      <c r="E18" s="22">
        <f t="shared" ref="E18:E26" si="5">(D18-B18)/B18*100</f>
        <v>297.826086956522</v>
      </c>
      <c r="F18" s="30">
        <v>330</v>
      </c>
      <c r="G18" s="22">
        <f t="shared" si="2"/>
        <v>-39.8907103825137</v>
      </c>
    </row>
    <row r="19" s="1" customFormat="1" ht="15" customHeight="1" spans="1:7">
      <c r="A19" s="16" t="s">
        <v>542</v>
      </c>
      <c r="B19" s="17">
        <f t="shared" ref="B19:D19" si="6">B20+B24</f>
        <v>36228</v>
      </c>
      <c r="C19" s="17">
        <f t="shared" si="6"/>
        <v>40004</v>
      </c>
      <c r="D19" s="17">
        <f t="shared" si="6"/>
        <v>41322</v>
      </c>
      <c r="E19" s="18">
        <f t="shared" si="5"/>
        <v>14.0609473335542</v>
      </c>
      <c r="F19" s="17">
        <f>F20+F24</f>
        <v>46848</v>
      </c>
      <c r="G19" s="18">
        <f t="shared" si="2"/>
        <v>13.3730216349644</v>
      </c>
    </row>
    <row r="20" s="2" customFormat="1" ht="15" customHeight="1" spans="1:7">
      <c r="A20" s="19" t="s">
        <v>543</v>
      </c>
      <c r="B20" s="17">
        <f t="shared" ref="B20:D20" si="7">B21+B22+B23</f>
        <v>8966</v>
      </c>
      <c r="C20" s="17">
        <f t="shared" si="7"/>
        <v>9860</v>
      </c>
      <c r="D20" s="17">
        <f t="shared" si="7"/>
        <v>10367</v>
      </c>
      <c r="E20" s="18">
        <f t="shared" si="5"/>
        <v>15.6256970778497</v>
      </c>
      <c r="F20" s="17">
        <f>F21+F22+F23</f>
        <v>12373</v>
      </c>
      <c r="G20" s="18">
        <f t="shared" si="2"/>
        <v>19.3498601331147</v>
      </c>
    </row>
    <row r="21" s="1" customFormat="1" ht="15" customHeight="1" spans="1:7">
      <c r="A21" s="20" t="s">
        <v>544</v>
      </c>
      <c r="B21" s="21">
        <v>8922</v>
      </c>
      <c r="C21" s="21">
        <v>9824</v>
      </c>
      <c r="D21" s="21">
        <v>10326</v>
      </c>
      <c r="E21" s="22">
        <f t="shared" si="5"/>
        <v>15.7363819771352</v>
      </c>
      <c r="F21" s="30">
        <v>12337</v>
      </c>
      <c r="G21" s="22">
        <f t="shared" si="2"/>
        <v>19.4751113693589</v>
      </c>
    </row>
    <row r="22" s="1" customFormat="1" ht="15" customHeight="1" spans="1:7">
      <c r="A22" s="20" t="s">
        <v>545</v>
      </c>
      <c r="B22" s="21">
        <v>25</v>
      </c>
      <c r="C22" s="30">
        <v>24</v>
      </c>
      <c r="D22" s="21">
        <v>29</v>
      </c>
      <c r="E22" s="22">
        <f t="shared" si="5"/>
        <v>16</v>
      </c>
      <c r="F22" s="30">
        <v>24</v>
      </c>
      <c r="G22" s="22">
        <f t="shared" si="2"/>
        <v>-17.2413793103448</v>
      </c>
    </row>
    <row r="23" s="1" customFormat="1" ht="15" customHeight="1" spans="1:7">
      <c r="A23" s="31" t="s">
        <v>546</v>
      </c>
      <c r="B23" s="21">
        <v>19</v>
      </c>
      <c r="C23" s="30">
        <v>12</v>
      </c>
      <c r="D23" s="21">
        <v>12</v>
      </c>
      <c r="E23" s="22">
        <f t="shared" si="5"/>
        <v>-36.8421052631579</v>
      </c>
      <c r="F23" s="30">
        <v>12</v>
      </c>
      <c r="G23" s="22">
        <f t="shared" si="2"/>
        <v>0</v>
      </c>
    </row>
    <row r="24" s="2" customFormat="1" ht="15" customHeight="1" spans="1:7">
      <c r="A24" s="19" t="s">
        <v>547</v>
      </c>
      <c r="B24" s="32">
        <f t="shared" ref="B24:D24" si="8">B25+B26+B27</f>
        <v>27262</v>
      </c>
      <c r="C24" s="32">
        <f t="shared" si="8"/>
        <v>30144</v>
      </c>
      <c r="D24" s="32">
        <f t="shared" si="8"/>
        <v>30955</v>
      </c>
      <c r="E24" s="18">
        <f t="shared" si="5"/>
        <v>13.5463282224342</v>
      </c>
      <c r="F24" s="32">
        <f>F25+F26+F27</f>
        <v>34475</v>
      </c>
      <c r="G24" s="18">
        <f t="shared" si="2"/>
        <v>11.3713455015345</v>
      </c>
    </row>
    <row r="25" s="1" customFormat="1" ht="15" customHeight="1" spans="1:7">
      <c r="A25" s="20" t="s">
        <v>544</v>
      </c>
      <c r="B25" s="21">
        <v>27251</v>
      </c>
      <c r="C25" s="21">
        <v>29636</v>
      </c>
      <c r="D25" s="21">
        <v>30057</v>
      </c>
      <c r="E25" s="22">
        <f t="shared" si="5"/>
        <v>10.2968698396389</v>
      </c>
      <c r="F25" s="30">
        <v>33665</v>
      </c>
      <c r="G25" s="22">
        <f t="shared" si="2"/>
        <v>12.0038593339322</v>
      </c>
    </row>
    <row r="26" s="1" customFormat="1" ht="15" customHeight="1" spans="1:7">
      <c r="A26" s="20" t="s">
        <v>545</v>
      </c>
      <c r="B26" s="25">
        <v>11</v>
      </c>
      <c r="C26" s="30">
        <v>500</v>
      </c>
      <c r="D26" s="25">
        <v>889</v>
      </c>
      <c r="E26" s="22">
        <f t="shared" si="5"/>
        <v>7981.81818181818</v>
      </c>
      <c r="F26" s="30">
        <v>800</v>
      </c>
      <c r="G26" s="22">
        <f t="shared" si="2"/>
        <v>-10.0112485939258</v>
      </c>
    </row>
    <row r="27" s="1" customFormat="1" ht="15" customHeight="1" spans="1:7">
      <c r="A27" s="31" t="s">
        <v>546</v>
      </c>
      <c r="B27" s="25"/>
      <c r="C27" s="30">
        <v>8</v>
      </c>
      <c r="D27" s="25">
        <v>9</v>
      </c>
      <c r="E27" s="22"/>
      <c r="F27" s="30">
        <v>10</v>
      </c>
      <c r="G27" s="22">
        <f t="shared" si="2"/>
        <v>11.1111111111111</v>
      </c>
    </row>
    <row r="28" s="1" customFormat="1" ht="15" customHeight="1" spans="1:7">
      <c r="A28" s="16" t="s">
        <v>548</v>
      </c>
      <c r="B28" s="32">
        <f>B29+B30</f>
        <v>-2740</v>
      </c>
      <c r="C28" s="32">
        <f t="shared" ref="C28:D28" si="9">C5-C19</f>
        <v>8586.43</v>
      </c>
      <c r="D28" s="32">
        <f t="shared" si="9"/>
        <v>-204</v>
      </c>
      <c r="E28" s="18">
        <f t="shared" ref="E28:E36" si="10">(D28-B28)/B28*100</f>
        <v>-92.5547445255474</v>
      </c>
      <c r="F28" s="32">
        <f>F5-F19</f>
        <v>10116</v>
      </c>
      <c r="G28" s="18">
        <f>-(F28-D28)/D28*100</f>
        <v>5058.82352941176</v>
      </c>
    </row>
    <row r="29" s="1" customFormat="1" ht="15" customHeight="1" spans="1:7">
      <c r="A29" s="33" t="s">
        <v>549</v>
      </c>
      <c r="B29" s="21">
        <f t="shared" ref="B29:D29" si="11">B6-B20</f>
        <v>-1563</v>
      </c>
      <c r="C29" s="21">
        <f t="shared" si="11"/>
        <v>8509.43</v>
      </c>
      <c r="D29" s="21">
        <f t="shared" si="11"/>
        <v>-376</v>
      </c>
      <c r="E29" s="22">
        <f>-(D29-B29)/B29*100</f>
        <v>75.9436980166347</v>
      </c>
      <c r="F29" s="21">
        <f>F6-F20</f>
        <v>10112</v>
      </c>
      <c r="G29" s="22">
        <f>-(F29-D29)/D29*100</f>
        <v>2789.36170212766</v>
      </c>
    </row>
    <row r="30" s="1" customFormat="1" ht="15" customHeight="1" spans="1:7">
      <c r="A30" s="33" t="s">
        <v>550</v>
      </c>
      <c r="B30" s="21">
        <f t="shared" ref="B30:D30" si="12">B13-B24</f>
        <v>-1177</v>
      </c>
      <c r="C30" s="21">
        <f t="shared" si="12"/>
        <v>77</v>
      </c>
      <c r="D30" s="21">
        <f t="shared" si="12"/>
        <v>172</v>
      </c>
      <c r="E30" s="22">
        <f>-(D30-B30)/B30*100</f>
        <v>114.613423959218</v>
      </c>
      <c r="F30" s="21">
        <f>F13-F24</f>
        <v>4</v>
      </c>
      <c r="G30" s="22">
        <f>(F30-D30)/D30*100</f>
        <v>-97.6744186046512</v>
      </c>
    </row>
    <row r="31" s="1" customFormat="1" ht="15" customHeight="1" spans="1:7">
      <c r="A31" s="16" t="s">
        <v>551</v>
      </c>
      <c r="B31" s="17">
        <f>B32+B33</f>
        <v>32640</v>
      </c>
      <c r="C31" s="17">
        <f>SUM(C32:C33)</f>
        <v>29900</v>
      </c>
      <c r="D31" s="17">
        <f>SUM(D32:D33)</f>
        <v>29900</v>
      </c>
      <c r="E31" s="18">
        <f t="shared" si="10"/>
        <v>-8.39460784313725</v>
      </c>
      <c r="F31" s="17">
        <f>F32+F33</f>
        <v>29696</v>
      </c>
      <c r="G31" s="18">
        <f t="shared" si="2"/>
        <v>-0.682274247491639</v>
      </c>
    </row>
    <row r="32" s="1" customFormat="1" ht="15" customHeight="1" spans="1:7">
      <c r="A32" s="33" t="s">
        <v>552</v>
      </c>
      <c r="B32" s="30">
        <v>30993</v>
      </c>
      <c r="C32" s="30">
        <v>29430</v>
      </c>
      <c r="D32" s="30">
        <v>29430</v>
      </c>
      <c r="E32" s="22">
        <f t="shared" si="10"/>
        <v>-5.0430742425709</v>
      </c>
      <c r="F32" s="30">
        <f>D35</f>
        <v>29054</v>
      </c>
      <c r="G32" s="22">
        <f t="shared" si="2"/>
        <v>-1.27760788311247</v>
      </c>
    </row>
    <row r="33" s="1" customFormat="1" ht="15" customHeight="1" spans="1:7">
      <c r="A33" s="33" t="s">
        <v>553</v>
      </c>
      <c r="B33" s="30">
        <v>1647</v>
      </c>
      <c r="C33" s="30">
        <v>470</v>
      </c>
      <c r="D33" s="30">
        <v>470</v>
      </c>
      <c r="E33" s="22">
        <f t="shared" si="10"/>
        <v>-71.4632665452338</v>
      </c>
      <c r="F33" s="30">
        <f>D36</f>
        <v>642</v>
      </c>
      <c r="G33" s="18">
        <f t="shared" si="2"/>
        <v>36.5957446808511</v>
      </c>
    </row>
    <row r="34" s="1" customFormat="1" ht="15" customHeight="1" spans="1:7">
      <c r="A34" s="16" t="s">
        <v>554</v>
      </c>
      <c r="B34" s="17">
        <f>B35+B36</f>
        <v>29900</v>
      </c>
      <c r="C34" s="17">
        <f t="shared" ref="C34:D34" si="13">C28+C31</f>
        <v>38486.43</v>
      </c>
      <c r="D34" s="17">
        <f t="shared" si="13"/>
        <v>29696</v>
      </c>
      <c r="E34" s="18">
        <f t="shared" si="10"/>
        <v>-0.682274247491639</v>
      </c>
      <c r="F34" s="17">
        <f t="shared" ref="F34:F36" si="14">F28+F31</f>
        <v>39812</v>
      </c>
      <c r="G34" s="18">
        <f t="shared" si="2"/>
        <v>34.0651939655172</v>
      </c>
    </row>
    <row r="35" s="1" customFormat="1" ht="15" customHeight="1" spans="1:7">
      <c r="A35" s="33" t="s">
        <v>555</v>
      </c>
      <c r="B35" s="30">
        <f t="shared" ref="B35:D35" si="15">B29+B32</f>
        <v>29430</v>
      </c>
      <c r="C35" s="30">
        <f t="shared" si="15"/>
        <v>37939.43</v>
      </c>
      <c r="D35" s="30">
        <f t="shared" si="15"/>
        <v>29054</v>
      </c>
      <c r="E35" s="22">
        <f t="shared" si="10"/>
        <v>-1.27760788311247</v>
      </c>
      <c r="F35" s="30">
        <f t="shared" si="14"/>
        <v>39166</v>
      </c>
      <c r="G35" s="22">
        <f t="shared" si="2"/>
        <v>34.8041577751773</v>
      </c>
    </row>
    <row r="36" s="1" customFormat="1" ht="15" customHeight="1" spans="1:7">
      <c r="A36" s="33" t="s">
        <v>556</v>
      </c>
      <c r="B36" s="30">
        <f t="shared" ref="B36:D36" si="16">B30+B33</f>
        <v>470</v>
      </c>
      <c r="C36" s="30">
        <f t="shared" si="16"/>
        <v>547</v>
      </c>
      <c r="D36" s="30">
        <f t="shared" si="16"/>
        <v>642</v>
      </c>
      <c r="E36" s="18">
        <f t="shared" si="10"/>
        <v>36.5957446808511</v>
      </c>
      <c r="F36" s="30">
        <f t="shared" si="14"/>
        <v>646</v>
      </c>
      <c r="G36" s="22">
        <f t="shared" si="2"/>
        <v>0.623052959501558</v>
      </c>
    </row>
    <row r="37" s="1" customFormat="1" ht="15.9" customHeight="1" spans="1:7">
      <c r="A37" s="3"/>
      <c r="B37" s="3"/>
      <c r="C37" s="3"/>
      <c r="D37" s="3"/>
      <c r="E37" s="3"/>
      <c r="F37" s="3"/>
      <c r="G37" s="3"/>
    </row>
  </sheetData>
  <mergeCells count="6">
    <mergeCell ref="A1:G1"/>
    <mergeCell ref="F2:G2"/>
    <mergeCell ref="C3:E3"/>
    <mergeCell ref="F3:G3"/>
    <mergeCell ref="A3:A4"/>
    <mergeCell ref="B3:B4"/>
  </mergeCells>
  <pageMargins left="0.471527777777778" right="0.55" top="0.313888888888889" bottom="0.313888888888889" header="0.354166666666667" footer="0.15625"/>
  <pageSetup paperSize="9" orientation="landscape"/>
  <headerFooter alignWithMargins="0">
    <oddFooter>&amp;C&amp;10第 &amp;P 页，共 &amp;N 页</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L10"/>
  <sheetViews>
    <sheetView workbookViewId="0">
      <selection activeCell="D2" sqref="D2"/>
    </sheetView>
  </sheetViews>
  <sheetFormatPr defaultColWidth="9" defaultRowHeight="14.25"/>
  <cols>
    <col min="2" max="4" width="12.625"/>
    <col min="6" max="6" width="12.625"/>
    <col min="8" max="8" width="12.625"/>
    <col min="10" max="10" width="12.625"/>
    <col min="11" max="11" width="10.375"/>
  </cols>
  <sheetData>
    <row r="1" spans="2:6">
      <c r="B1" t="s">
        <v>557</v>
      </c>
      <c r="D1" t="s">
        <v>558</v>
      </c>
      <c r="E1" t="s">
        <v>559</v>
      </c>
      <c r="F1" t="s">
        <v>560</v>
      </c>
    </row>
    <row r="2" spans="2:12">
      <c r="B2">
        <f>表三一般公共预算收支总表!D31</f>
        <v>511072.3</v>
      </c>
      <c r="C2">
        <f>表三一般公共预算收支总表!D5</f>
        <v>104413</v>
      </c>
      <c r="D2">
        <f>表三一般公共预算收支总表!D24+表三一般公共预算收支总表!D8</f>
        <v>221285</v>
      </c>
      <c r="E2">
        <f>表三一般公共预算收支总表!D27</f>
        <v>120633</v>
      </c>
      <c r="F2">
        <f>表三一般公共预算收支总表!D28</f>
        <v>61980.3</v>
      </c>
      <c r="G2">
        <f>表三一般公共预算收支总表!D30</f>
        <v>2761</v>
      </c>
      <c r="H2">
        <f>表三一般公共预算收支总表!D37</f>
        <v>94302</v>
      </c>
      <c r="J2">
        <f>表三一般公共预算收支总表!D33</f>
        <v>275051</v>
      </c>
      <c r="K2">
        <f>表三一般公共预算收支总表!D35</f>
        <v>110139</v>
      </c>
      <c r="L2">
        <f>表三一般公共预算收支总表!D34</f>
        <v>27703</v>
      </c>
    </row>
    <row r="3" spans="2:11">
      <c r="B3">
        <f>表五政府性基金收支总表!D16</f>
        <v>242821.6668</v>
      </c>
      <c r="C3">
        <f>表五政府性基金收支总表!D10</f>
        <v>19192.6668</v>
      </c>
      <c r="D3">
        <f>表五政府性基金收支总表!D12</f>
        <v>31417</v>
      </c>
      <c r="E3">
        <f>表五政府性基金收支总表!D15</f>
        <v>179162</v>
      </c>
      <c r="F3">
        <f>表五政府性基金收支总表!D13</f>
        <v>13050</v>
      </c>
      <c r="H3">
        <f>表五政府性基金收支总表!D43</f>
        <v>22714.67711</v>
      </c>
      <c r="J3">
        <f>表五政府性基金收支总表!D38</f>
        <v>69209.84969</v>
      </c>
      <c r="K3">
        <f>表五政府性基金收支总表!D41</f>
        <v>150897.14</v>
      </c>
    </row>
    <row r="4" spans="2:10">
      <c r="B4">
        <f>表六国有资本经营预算收支表!D11</f>
        <v>371</v>
      </c>
      <c r="C4">
        <f>表六国有资本经营预算收支表!D7</f>
        <v>298</v>
      </c>
      <c r="D4">
        <f>表六国有资本经营预算收支表!D9</f>
        <v>37</v>
      </c>
      <c r="F4">
        <f>表六国有资本经营预算收支表!D10</f>
        <v>36</v>
      </c>
      <c r="H4">
        <f>表六国有资本经营预算收支表!D17</f>
        <v>58.38</v>
      </c>
      <c r="J4">
        <f>表六国有资本经营预算收支表!D14</f>
        <v>312.62</v>
      </c>
    </row>
    <row r="6" spans="2:7">
      <c r="B6">
        <f>表三一般公共预算收支总表!G31</f>
        <v>375147.112227</v>
      </c>
      <c r="C6">
        <f>表三一般公共预算收支总表!G5</f>
        <v>109650</v>
      </c>
      <c r="D6">
        <f>表三一般公共预算收支总表!G24</f>
        <v>62965.812227</v>
      </c>
      <c r="E6">
        <f>表三一般公共预算收支总表!G8</f>
        <v>87917</v>
      </c>
      <c r="F6">
        <f>表三一般公共预算收支总表!G28</f>
        <v>94302</v>
      </c>
      <c r="G6">
        <v>3877</v>
      </c>
    </row>
    <row r="7" spans="2:7">
      <c r="B7">
        <f>表五政府性基金收支总表!F16</f>
        <v>104699.56</v>
      </c>
      <c r="C7">
        <f>表五政府性基金收支总表!F10</f>
        <v>11017</v>
      </c>
      <c r="D7">
        <f>表五政府性基金收支总表!F12-70000</f>
        <v>967.559999999998</v>
      </c>
      <c r="E7">
        <v>70000</v>
      </c>
      <c r="F7">
        <f>表五政府性基金收支总表!D43-3447</f>
        <v>19267.67711</v>
      </c>
      <c r="G7">
        <v>3447</v>
      </c>
    </row>
    <row r="8" spans="2:6">
      <c r="B8">
        <f>表六国有资本经营预算收支表!F11</f>
        <v>331.25</v>
      </c>
      <c r="C8">
        <f>表六国有资本经营预算收支表!F7</f>
        <v>235</v>
      </c>
      <c r="D8">
        <f>表六国有资本经营预算收支表!F9</f>
        <v>38.25</v>
      </c>
      <c r="F8">
        <f>表六国有资本经营预算收支表!D17</f>
        <v>58.38</v>
      </c>
    </row>
    <row r="9" spans="2:5">
      <c r="B9">
        <v>31225</v>
      </c>
      <c r="E9">
        <v>16200</v>
      </c>
    </row>
    <row r="10" spans="2:2">
      <c r="B10">
        <f>SUM(B6:B8)-B9</f>
        <v>448952.922227</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1"/>
  <sheetViews>
    <sheetView showZeros="0" tabSelected="1" workbookViewId="0">
      <pane xSplit="1" ySplit="4" topLeftCell="B5" activePane="bottomRight" state="frozen"/>
      <selection/>
      <selection pane="topRight"/>
      <selection pane="bottomLeft"/>
      <selection pane="bottomRight" activeCell="D10" sqref="D10"/>
    </sheetView>
  </sheetViews>
  <sheetFormatPr defaultColWidth="9" defaultRowHeight="12.75"/>
  <cols>
    <col min="1" max="1" width="28.375" style="336" customWidth="1"/>
    <col min="2" max="2" width="7.7" style="336" customWidth="1"/>
    <col min="3" max="3" width="8.1" style="336" customWidth="1"/>
    <col min="4" max="4" width="8.4" style="336" customWidth="1"/>
    <col min="5" max="5" width="7.6" style="337" customWidth="1"/>
    <col min="6" max="6" width="9.2" style="337" customWidth="1"/>
    <col min="7" max="7" width="10" style="336" customWidth="1"/>
    <col min="8" max="8" width="11.25" style="336" customWidth="1"/>
    <col min="9" max="9" width="9.2" style="335" hidden="1" customWidth="1"/>
    <col min="10" max="10" width="9.2" style="335"/>
    <col min="11" max="16384" width="9" style="336"/>
  </cols>
  <sheetData>
    <row r="1" ht="18.75" customHeight="1" spans="1:8">
      <c r="A1" s="338" t="s">
        <v>11</v>
      </c>
      <c r="B1" s="339"/>
      <c r="C1" s="339"/>
      <c r="D1" s="339"/>
      <c r="E1" s="340"/>
      <c r="F1" s="340"/>
      <c r="G1" s="339"/>
      <c r="H1" s="339"/>
    </row>
    <row r="2" ht="14.25" customHeight="1" spans="1:8">
      <c r="A2" s="341"/>
      <c r="B2" s="342"/>
      <c r="G2" s="343" t="s">
        <v>12</v>
      </c>
      <c r="H2" s="344"/>
    </row>
    <row r="3" ht="19.5" customHeight="1" spans="1:8">
      <c r="A3" s="345" t="s">
        <v>13</v>
      </c>
      <c r="B3" s="346" t="s">
        <v>14</v>
      </c>
      <c r="C3" s="347" t="s">
        <v>15</v>
      </c>
      <c r="D3" s="347"/>
      <c r="E3" s="348"/>
      <c r="F3" s="348"/>
      <c r="G3" s="347" t="s">
        <v>16</v>
      </c>
      <c r="H3" s="347"/>
    </row>
    <row r="4" ht="26.25" customHeight="1" spans="1:8">
      <c r="A4" s="347"/>
      <c r="B4" s="346"/>
      <c r="C4" s="14" t="s">
        <v>17</v>
      </c>
      <c r="D4" s="14" t="s">
        <v>18</v>
      </c>
      <c r="E4" s="349" t="s">
        <v>19</v>
      </c>
      <c r="F4" s="349" t="s">
        <v>20</v>
      </c>
      <c r="G4" s="14" t="s">
        <v>17</v>
      </c>
      <c r="H4" s="14" t="s">
        <v>20</v>
      </c>
    </row>
    <row r="5" ht="17.1" customHeight="1" spans="1:9">
      <c r="A5" s="350" t="s">
        <v>21</v>
      </c>
      <c r="B5" s="351">
        <v>19054</v>
      </c>
      <c r="C5" s="352">
        <v>26640</v>
      </c>
      <c r="D5" s="352">
        <v>21909</v>
      </c>
      <c r="E5" s="353">
        <f>IFERROR(D5/C5*100,0)</f>
        <v>82.240990990991</v>
      </c>
      <c r="F5" s="354">
        <f>(D5-B5)/B5*100</f>
        <v>14.9837304502991</v>
      </c>
      <c r="G5" s="259">
        <f>22150+2000</f>
        <v>24150</v>
      </c>
      <c r="H5" s="355">
        <f>IFERROR((G5-D5)/D5*100,0)</f>
        <v>10.2286731480214</v>
      </c>
      <c r="I5" s="259">
        <v>22136</v>
      </c>
    </row>
    <row r="6" ht="17.1" customHeight="1" spans="1:9">
      <c r="A6" s="356" t="s">
        <v>22</v>
      </c>
      <c r="B6" s="259">
        <v>5477</v>
      </c>
      <c r="C6" s="352">
        <v>3500</v>
      </c>
      <c r="D6" s="352">
        <v>3157</v>
      </c>
      <c r="E6" s="353">
        <f t="shared" ref="E6:E34" si="0">IFERROR(D6/C6*100,0)</f>
        <v>90.2</v>
      </c>
      <c r="F6" s="354">
        <f t="shared" ref="F6:F34" si="1">(D6-B6)/B6*100</f>
        <v>-42.3589556326456</v>
      </c>
      <c r="G6" s="259">
        <v>6000</v>
      </c>
      <c r="H6" s="355">
        <f t="shared" ref="H6:H34" si="2">IFERROR((G6-D6)/D6*100,0)</f>
        <v>90.053848590434</v>
      </c>
      <c r="I6" s="259">
        <v>6000</v>
      </c>
    </row>
    <row r="7" ht="17.1" customHeight="1" spans="1:9">
      <c r="A7" s="356" t="s">
        <v>23</v>
      </c>
      <c r="B7" s="259">
        <v>2053</v>
      </c>
      <c r="C7" s="352">
        <v>2380</v>
      </c>
      <c r="D7" s="352">
        <v>1549</v>
      </c>
      <c r="E7" s="353">
        <f t="shared" si="0"/>
        <v>65.0840336134454</v>
      </c>
      <c r="F7" s="354">
        <f t="shared" si="1"/>
        <v>-24.5494398441305</v>
      </c>
      <c r="G7" s="259">
        <v>1500</v>
      </c>
      <c r="H7" s="355">
        <f t="shared" si="2"/>
        <v>-3.16333118140736</v>
      </c>
      <c r="I7" s="259">
        <v>1500</v>
      </c>
    </row>
    <row r="8" ht="17.1" customHeight="1" spans="1:9">
      <c r="A8" s="357" t="s">
        <v>24</v>
      </c>
      <c r="B8" s="351">
        <v>57</v>
      </c>
      <c r="C8" s="352">
        <v>70</v>
      </c>
      <c r="D8" s="352">
        <v>43</v>
      </c>
      <c r="E8" s="353">
        <f t="shared" si="0"/>
        <v>61.4285714285714</v>
      </c>
      <c r="F8" s="354">
        <f t="shared" si="1"/>
        <v>-24.5614035087719</v>
      </c>
      <c r="G8" s="259">
        <v>50</v>
      </c>
      <c r="H8" s="355">
        <f t="shared" si="2"/>
        <v>16.2790697674419</v>
      </c>
      <c r="I8" s="259">
        <v>50</v>
      </c>
    </row>
    <row r="9" ht="17.1" customHeight="1" spans="1:9">
      <c r="A9" s="256" t="s">
        <v>25</v>
      </c>
      <c r="B9" s="358">
        <v>1187</v>
      </c>
      <c r="C9" s="352">
        <v>1380</v>
      </c>
      <c r="D9" s="352">
        <v>881</v>
      </c>
      <c r="E9" s="353">
        <f t="shared" si="0"/>
        <v>63.8405797101449</v>
      </c>
      <c r="F9" s="354">
        <f t="shared" si="1"/>
        <v>-25.7792754844145</v>
      </c>
      <c r="G9" s="259">
        <f>1000+500</f>
        <v>1500</v>
      </c>
      <c r="H9" s="355">
        <f t="shared" si="2"/>
        <v>70.261066969353</v>
      </c>
      <c r="I9" s="259">
        <v>1000</v>
      </c>
    </row>
    <row r="10" ht="17.1" customHeight="1" spans="1:9">
      <c r="A10" s="256" t="s">
        <v>26</v>
      </c>
      <c r="B10" s="358">
        <v>3608</v>
      </c>
      <c r="C10" s="352">
        <v>4530</v>
      </c>
      <c r="D10" s="352">
        <v>4495</v>
      </c>
      <c r="E10" s="353">
        <f t="shared" si="0"/>
        <v>99.2273730684327</v>
      </c>
      <c r="F10" s="354">
        <f t="shared" si="1"/>
        <v>24.5842572062084</v>
      </c>
      <c r="G10" s="259">
        <f>4200+1000</f>
        <v>5200</v>
      </c>
      <c r="H10" s="355">
        <f t="shared" si="2"/>
        <v>15.6840934371524</v>
      </c>
      <c r="I10" s="259">
        <v>4200</v>
      </c>
    </row>
    <row r="11" ht="17.1" customHeight="1" spans="1:9">
      <c r="A11" s="256" t="s">
        <v>27</v>
      </c>
      <c r="B11" s="358">
        <v>4381</v>
      </c>
      <c r="C11" s="352">
        <v>4600</v>
      </c>
      <c r="D11" s="352">
        <v>5120</v>
      </c>
      <c r="E11" s="353">
        <f t="shared" si="0"/>
        <v>111.304347826087</v>
      </c>
      <c r="F11" s="354">
        <f t="shared" si="1"/>
        <v>16.8682949098379</v>
      </c>
      <c r="G11" s="259">
        <f>4700+500</f>
        <v>5200</v>
      </c>
      <c r="H11" s="355">
        <f t="shared" si="2"/>
        <v>1.5625</v>
      </c>
      <c r="I11" s="259">
        <v>4700</v>
      </c>
    </row>
    <row r="12" ht="17.1" customHeight="1" spans="1:9">
      <c r="A12" s="256" t="s">
        <v>28</v>
      </c>
      <c r="B12" s="358">
        <v>1487</v>
      </c>
      <c r="C12" s="352">
        <v>2000</v>
      </c>
      <c r="D12" s="352">
        <v>2040</v>
      </c>
      <c r="E12" s="353">
        <f t="shared" si="0"/>
        <v>102</v>
      </c>
      <c r="F12" s="354">
        <f t="shared" si="1"/>
        <v>37.1889710827169</v>
      </c>
      <c r="G12" s="259">
        <v>2500</v>
      </c>
      <c r="H12" s="355">
        <f t="shared" si="2"/>
        <v>22.5490196078431</v>
      </c>
      <c r="I12" s="259">
        <v>2500</v>
      </c>
    </row>
    <row r="13" ht="17.1" customHeight="1" spans="1:9">
      <c r="A13" s="256" t="s">
        <v>29</v>
      </c>
      <c r="B13" s="358">
        <v>1769</v>
      </c>
      <c r="C13" s="352">
        <v>1760</v>
      </c>
      <c r="D13" s="352">
        <v>1618</v>
      </c>
      <c r="E13" s="353">
        <f t="shared" si="0"/>
        <v>91.9318181818182</v>
      </c>
      <c r="F13" s="354">
        <f t="shared" si="1"/>
        <v>-8.53589598643301</v>
      </c>
      <c r="G13" s="259">
        <v>1500</v>
      </c>
      <c r="H13" s="355">
        <f t="shared" si="2"/>
        <v>-7.2929542645241</v>
      </c>
      <c r="I13" s="259">
        <v>1500</v>
      </c>
    </row>
    <row r="14" ht="17.1" customHeight="1" spans="1:9">
      <c r="A14" s="256" t="s">
        <v>30</v>
      </c>
      <c r="B14" s="358">
        <v>7479</v>
      </c>
      <c r="C14" s="352">
        <v>10000</v>
      </c>
      <c r="D14" s="352">
        <v>10846</v>
      </c>
      <c r="E14" s="353">
        <f t="shared" si="0"/>
        <v>108.46</v>
      </c>
      <c r="F14" s="354">
        <f t="shared" si="1"/>
        <v>45.0193876186656</v>
      </c>
      <c r="G14" s="259">
        <v>12700</v>
      </c>
      <c r="H14" s="355">
        <f t="shared" si="2"/>
        <v>17.0938594873686</v>
      </c>
      <c r="I14" s="259">
        <v>11964</v>
      </c>
    </row>
    <row r="15" ht="17.1" customHeight="1" spans="1:9">
      <c r="A15" s="256" t="s">
        <v>31</v>
      </c>
      <c r="B15" s="358">
        <v>1455</v>
      </c>
      <c r="C15" s="352">
        <v>1500</v>
      </c>
      <c r="D15" s="352">
        <v>1837</v>
      </c>
      <c r="E15" s="353">
        <f t="shared" si="0"/>
        <v>122.466666666667</v>
      </c>
      <c r="F15" s="354">
        <f t="shared" si="1"/>
        <v>26.2542955326461</v>
      </c>
      <c r="G15" s="259">
        <f>1700+300</f>
        <v>2000</v>
      </c>
      <c r="H15" s="355">
        <f t="shared" si="2"/>
        <v>8.87316276537833</v>
      </c>
      <c r="I15" s="259">
        <v>1700</v>
      </c>
    </row>
    <row r="16" ht="17.1" customHeight="1" spans="1:9">
      <c r="A16" s="256" t="s">
        <v>32</v>
      </c>
      <c r="B16" s="358">
        <v>1273</v>
      </c>
      <c r="C16" s="352">
        <v>500</v>
      </c>
      <c r="D16" s="352">
        <v>1542</v>
      </c>
      <c r="E16" s="353">
        <f t="shared" si="0"/>
        <v>308.4</v>
      </c>
      <c r="F16" s="354">
        <f t="shared" si="1"/>
        <v>21.1311861743912</v>
      </c>
      <c r="G16" s="259">
        <f>2000+700</f>
        <v>2700</v>
      </c>
      <c r="H16" s="355">
        <f t="shared" si="2"/>
        <v>75.0972762645914</v>
      </c>
      <c r="I16" s="259">
        <v>2000</v>
      </c>
    </row>
    <row r="17" ht="17.1" customHeight="1" spans="1:9">
      <c r="A17" s="256" t="s">
        <v>33</v>
      </c>
      <c r="B17" s="358">
        <v>6684</v>
      </c>
      <c r="C17" s="352">
        <v>8800</v>
      </c>
      <c r="D17" s="352">
        <v>9236</v>
      </c>
      <c r="E17" s="353">
        <f t="shared" si="0"/>
        <v>104.954545454545</v>
      </c>
      <c r="F17" s="354">
        <f t="shared" si="1"/>
        <v>38.1807301017355</v>
      </c>
      <c r="G17" s="259">
        <f>9000+1000</f>
        <v>10000</v>
      </c>
      <c r="H17" s="355">
        <f t="shared" si="2"/>
        <v>8.27197921177999</v>
      </c>
      <c r="I17" s="259">
        <v>9000</v>
      </c>
    </row>
    <row r="18" ht="17.1" customHeight="1" spans="1:9">
      <c r="A18" s="256" t="s">
        <v>34</v>
      </c>
      <c r="B18" s="358">
        <v>6</v>
      </c>
      <c r="C18" s="359"/>
      <c r="D18" s="352"/>
      <c r="E18" s="353">
        <f t="shared" si="0"/>
        <v>0</v>
      </c>
      <c r="F18" s="354">
        <f t="shared" si="1"/>
        <v>-100</v>
      </c>
      <c r="G18" s="259"/>
      <c r="H18" s="355">
        <f t="shared" si="2"/>
        <v>0</v>
      </c>
      <c r="I18" s="259"/>
    </row>
    <row r="19" ht="17.1" customHeight="1" spans="1:9">
      <c r="A19" s="256" t="s">
        <v>35</v>
      </c>
      <c r="B19" s="257">
        <f t="shared" ref="B19:G19" si="3">SUM(B20:B25)</f>
        <v>5151</v>
      </c>
      <c r="C19" s="257">
        <f t="shared" si="3"/>
        <v>5905</v>
      </c>
      <c r="D19" s="257">
        <f t="shared" si="3"/>
        <v>5366</v>
      </c>
      <c r="E19" s="353">
        <f t="shared" si="0"/>
        <v>90.8721422523285</v>
      </c>
      <c r="F19" s="354">
        <f t="shared" si="1"/>
        <v>4.17394680644535</v>
      </c>
      <c r="G19" s="257">
        <f t="shared" si="3"/>
        <v>5230</v>
      </c>
      <c r="H19" s="355">
        <f t="shared" si="2"/>
        <v>-2.53447633246366</v>
      </c>
      <c r="I19" s="257">
        <f>SUM(I20:I25)</f>
        <v>4820</v>
      </c>
    </row>
    <row r="20" ht="17.1" customHeight="1" spans="1:9">
      <c r="A20" s="360" t="s">
        <v>36</v>
      </c>
      <c r="B20" s="257">
        <v>1766</v>
      </c>
      <c r="C20" s="359">
        <v>2340</v>
      </c>
      <c r="D20" s="352">
        <v>1950</v>
      </c>
      <c r="E20" s="353">
        <f t="shared" si="0"/>
        <v>83.3333333333333</v>
      </c>
      <c r="F20" s="354">
        <f t="shared" si="1"/>
        <v>10.4190260475651</v>
      </c>
      <c r="G20" s="259">
        <f>1750+250</f>
        <v>2000</v>
      </c>
      <c r="H20" s="355">
        <f t="shared" si="2"/>
        <v>2.56410256410256</v>
      </c>
      <c r="I20" s="259">
        <v>1750</v>
      </c>
    </row>
    <row r="21" ht="17.1" customHeight="1" spans="1:9">
      <c r="A21" s="361" t="s">
        <v>37</v>
      </c>
      <c r="B21" s="257">
        <v>1177</v>
      </c>
      <c r="C21" s="351">
        <v>1560</v>
      </c>
      <c r="D21" s="352">
        <v>1301</v>
      </c>
      <c r="E21" s="353">
        <f t="shared" si="0"/>
        <v>83.3974358974359</v>
      </c>
      <c r="F21" s="354">
        <f t="shared" si="1"/>
        <v>10.53525913339</v>
      </c>
      <c r="G21" s="259">
        <v>1330</v>
      </c>
      <c r="H21" s="355">
        <f t="shared" si="2"/>
        <v>2.22905457340507</v>
      </c>
      <c r="I21" s="259">
        <v>1170</v>
      </c>
    </row>
    <row r="22" ht="17.1" customHeight="1" spans="1:9">
      <c r="A22" s="361" t="s">
        <v>38</v>
      </c>
      <c r="B22" s="257">
        <v>1729</v>
      </c>
      <c r="C22" s="351">
        <v>1800</v>
      </c>
      <c r="D22" s="352">
        <v>1910</v>
      </c>
      <c r="E22" s="353">
        <f t="shared" si="0"/>
        <v>106.111111111111</v>
      </c>
      <c r="F22" s="354">
        <f t="shared" si="1"/>
        <v>10.4684788895315</v>
      </c>
      <c r="G22" s="259">
        <v>1900</v>
      </c>
      <c r="H22" s="355">
        <f t="shared" si="2"/>
        <v>-0.523560209424084</v>
      </c>
      <c r="I22" s="259">
        <v>1900</v>
      </c>
    </row>
    <row r="23" ht="15.75" customHeight="1" spans="1:9">
      <c r="A23" s="362" t="s">
        <v>39</v>
      </c>
      <c r="B23" s="257">
        <v>23</v>
      </c>
      <c r="C23" s="351">
        <v>202</v>
      </c>
      <c r="D23" s="352">
        <v>202</v>
      </c>
      <c r="E23" s="353">
        <f t="shared" si="0"/>
        <v>100</v>
      </c>
      <c r="F23" s="354">
        <f t="shared" si="1"/>
        <v>778.260869565217</v>
      </c>
      <c r="G23" s="259"/>
      <c r="H23" s="355">
        <f t="shared" si="2"/>
        <v>-100</v>
      </c>
      <c r="I23" s="259"/>
    </row>
    <row r="24" ht="15.75" customHeight="1" spans="1:9">
      <c r="A24" s="363" t="s">
        <v>40</v>
      </c>
      <c r="B24" s="257">
        <v>456</v>
      </c>
      <c r="C24" s="351">
        <v>1</v>
      </c>
      <c r="D24" s="352">
        <v>1</v>
      </c>
      <c r="E24" s="353">
        <f t="shared" si="0"/>
        <v>100</v>
      </c>
      <c r="F24" s="354">
        <f t="shared" si="1"/>
        <v>-99.780701754386</v>
      </c>
      <c r="G24" s="259"/>
      <c r="H24" s="355">
        <f t="shared" si="2"/>
        <v>-100</v>
      </c>
      <c r="I24" s="259"/>
    </row>
    <row r="25" ht="18" customHeight="1" spans="1:9">
      <c r="A25" s="363" t="s">
        <v>41</v>
      </c>
      <c r="B25" s="257"/>
      <c r="C25" s="351">
        <v>2</v>
      </c>
      <c r="D25" s="352">
        <v>2</v>
      </c>
      <c r="E25" s="353">
        <f t="shared" si="0"/>
        <v>100</v>
      </c>
      <c r="F25" s="354"/>
      <c r="G25" s="259"/>
      <c r="H25" s="355">
        <f t="shared" si="2"/>
        <v>-100</v>
      </c>
      <c r="I25" s="259"/>
    </row>
    <row r="26" ht="18" customHeight="1" spans="1:9">
      <c r="A26" s="256" t="s">
        <v>42</v>
      </c>
      <c r="B26" s="257">
        <v>3798</v>
      </c>
      <c r="C26" s="351">
        <v>3200</v>
      </c>
      <c r="D26" s="352">
        <v>3732</v>
      </c>
      <c r="E26" s="353">
        <f t="shared" si="0"/>
        <v>116.625</v>
      </c>
      <c r="F26" s="354">
        <f t="shared" si="1"/>
        <v>-1.73775671406003</v>
      </c>
      <c r="G26" s="259">
        <v>4000</v>
      </c>
      <c r="H26" s="355">
        <f t="shared" si="2"/>
        <v>7.18113612004287</v>
      </c>
      <c r="I26" s="259">
        <v>4000</v>
      </c>
    </row>
    <row r="27" ht="18" customHeight="1" spans="1:9">
      <c r="A27" s="256" t="s">
        <v>43</v>
      </c>
      <c r="B27" s="257">
        <v>1076</v>
      </c>
      <c r="C27" s="359">
        <v>1200</v>
      </c>
      <c r="D27" s="352">
        <v>3925</v>
      </c>
      <c r="E27" s="353">
        <f t="shared" si="0"/>
        <v>327.083333333333</v>
      </c>
      <c r="F27" s="354">
        <f t="shared" si="1"/>
        <v>264.776951672862</v>
      </c>
      <c r="G27" s="259">
        <v>2000</v>
      </c>
      <c r="H27" s="355">
        <f t="shared" si="2"/>
        <v>-49.0445859872611</v>
      </c>
      <c r="I27" s="259">
        <v>1200</v>
      </c>
    </row>
    <row r="28" ht="18" customHeight="1" spans="1:9">
      <c r="A28" s="256" t="s">
        <v>44</v>
      </c>
      <c r="B28" s="257">
        <v>7562</v>
      </c>
      <c r="C28" s="351">
        <v>26012</v>
      </c>
      <c r="D28" s="352">
        <v>27065</v>
      </c>
      <c r="E28" s="353">
        <f t="shared" si="0"/>
        <v>104.048131631555</v>
      </c>
      <c r="F28" s="354">
        <f t="shared" si="1"/>
        <v>257.907960856916</v>
      </c>
      <c r="G28" s="259">
        <f>24430-50-960</f>
        <v>23420</v>
      </c>
      <c r="H28" s="355">
        <f t="shared" si="2"/>
        <v>-13.4675780528358</v>
      </c>
      <c r="I28" s="259">
        <v>24430</v>
      </c>
    </row>
    <row r="29" ht="18" customHeight="1" spans="1:9">
      <c r="A29" s="363" t="s">
        <v>45</v>
      </c>
      <c r="B29" s="257"/>
      <c r="C29" s="118"/>
      <c r="D29" s="352"/>
      <c r="E29" s="353">
        <f t="shared" si="0"/>
        <v>0</v>
      </c>
      <c r="F29" s="354"/>
      <c r="G29" s="259"/>
      <c r="H29" s="355">
        <f t="shared" si="2"/>
        <v>0</v>
      </c>
      <c r="I29" s="259"/>
    </row>
    <row r="30" ht="18" customHeight="1" spans="1:9">
      <c r="A30" s="363" t="s">
        <v>46</v>
      </c>
      <c r="B30" s="257">
        <v>18</v>
      </c>
      <c r="C30" s="118">
        <v>18</v>
      </c>
      <c r="D30" s="352">
        <v>45</v>
      </c>
      <c r="E30" s="353">
        <f t="shared" si="0"/>
        <v>250</v>
      </c>
      <c r="F30" s="354">
        <f t="shared" si="1"/>
        <v>150</v>
      </c>
      <c r="G30" s="259"/>
      <c r="H30" s="355">
        <f t="shared" si="2"/>
        <v>-100</v>
      </c>
      <c r="I30" s="259"/>
    </row>
    <row r="31" ht="18" customHeight="1" spans="1:9">
      <c r="A31" s="256" t="s">
        <v>47</v>
      </c>
      <c r="B31" s="257">
        <v>15</v>
      </c>
      <c r="C31" s="118">
        <v>5</v>
      </c>
      <c r="D31" s="352">
        <v>7</v>
      </c>
      <c r="E31" s="353">
        <f t="shared" si="0"/>
        <v>140</v>
      </c>
      <c r="F31" s="354">
        <f t="shared" si="1"/>
        <v>-53.3333333333333</v>
      </c>
      <c r="G31" s="259"/>
      <c r="H31" s="355">
        <f t="shared" si="2"/>
        <v>-100</v>
      </c>
      <c r="I31" s="259"/>
    </row>
    <row r="32" s="234" customFormat="1" ht="18" customHeight="1" spans="1:10">
      <c r="A32" s="364" t="s">
        <v>48</v>
      </c>
      <c r="B32" s="365">
        <f t="shared" ref="B32:G32" si="4">B5+B6+B7+B9+B10+B11+B12+B13+B14+B15+B16+B17+B28+B26+B27+B19+B29+B31+B30+B8+B18</f>
        <v>73590</v>
      </c>
      <c r="C32" s="365">
        <f t="shared" si="4"/>
        <v>104000</v>
      </c>
      <c r="D32" s="365">
        <f t="shared" si="4"/>
        <v>104413</v>
      </c>
      <c r="E32" s="366">
        <f t="shared" si="0"/>
        <v>100.397115384615</v>
      </c>
      <c r="F32" s="367">
        <f t="shared" si="1"/>
        <v>41.8847669520315</v>
      </c>
      <c r="G32" s="365">
        <f t="shared" si="4"/>
        <v>109650</v>
      </c>
      <c r="H32" s="368">
        <f t="shared" si="2"/>
        <v>5.01565896966853</v>
      </c>
      <c r="J32" s="335"/>
    </row>
    <row r="33" ht="18" customHeight="1" spans="1:8">
      <c r="A33" s="369" t="s">
        <v>49</v>
      </c>
      <c r="B33" s="257">
        <f t="shared" ref="B33:G33" si="5">B32-B34</f>
        <v>57736</v>
      </c>
      <c r="C33" s="257">
        <f t="shared" si="5"/>
        <v>70000</v>
      </c>
      <c r="D33" s="257">
        <f t="shared" si="5"/>
        <v>66223</v>
      </c>
      <c r="E33" s="353">
        <f t="shared" si="0"/>
        <v>94.6042857142857</v>
      </c>
      <c r="F33" s="354">
        <f t="shared" si="1"/>
        <v>14.6996674518498</v>
      </c>
      <c r="G33" s="257">
        <f t="shared" si="5"/>
        <v>77000</v>
      </c>
      <c r="H33" s="355">
        <f t="shared" si="2"/>
        <v>16.2738021533304</v>
      </c>
    </row>
    <row r="34" s="334" customFormat="1" ht="18" customHeight="1" spans="1:10">
      <c r="A34" s="370" t="s">
        <v>50</v>
      </c>
      <c r="B34" s="371">
        <f t="shared" ref="B34:G34" si="6">SUM(B21:B31)</f>
        <v>15854</v>
      </c>
      <c r="C34" s="372">
        <f t="shared" si="6"/>
        <v>34000</v>
      </c>
      <c r="D34" s="372">
        <f t="shared" si="6"/>
        <v>38190</v>
      </c>
      <c r="E34" s="353">
        <f t="shared" si="0"/>
        <v>112.323529411765</v>
      </c>
      <c r="F34" s="354">
        <f t="shared" si="1"/>
        <v>140.885580925949</v>
      </c>
      <c r="G34" s="372">
        <f t="shared" si="6"/>
        <v>32650</v>
      </c>
      <c r="H34" s="355">
        <f t="shared" si="2"/>
        <v>-14.5064152919612</v>
      </c>
      <c r="I34" s="383"/>
      <c r="J34" s="335"/>
    </row>
    <row r="35" s="335" customFormat="1" ht="17.1" hidden="1" customHeight="1" spans="1:8">
      <c r="A35" s="373"/>
      <c r="B35" s="374"/>
      <c r="C35" s="375"/>
      <c r="D35" s="375"/>
      <c r="E35" s="376"/>
      <c r="F35" s="377"/>
      <c r="G35" s="375"/>
      <c r="H35" s="378"/>
    </row>
    <row r="36" s="335" customFormat="1" hidden="1" spans="1:8">
      <c r="A36" s="379" t="s">
        <v>51</v>
      </c>
      <c r="B36" s="379" t="e">
        <f>#REF!-B37-10523</f>
        <v>#REF!</v>
      </c>
      <c r="C36" s="379" t="e">
        <f>#REF!-C37</f>
        <v>#REF!</v>
      </c>
      <c r="D36" s="379" t="e">
        <f>#REF!-D37</f>
        <v>#REF!</v>
      </c>
      <c r="E36" s="376" t="e">
        <f>D36/C36*100</f>
        <v>#REF!</v>
      </c>
      <c r="F36" s="377" t="e">
        <f>(D36-B36)/B36*100</f>
        <v>#REF!</v>
      </c>
      <c r="G36" s="379" t="e">
        <f>#REF!-G37</f>
        <v>#REF!</v>
      </c>
      <c r="H36" s="378" t="e">
        <f t="shared" ref="H36:H41" si="7">(G36-D36)/D36*100</f>
        <v>#REF!</v>
      </c>
    </row>
    <row r="37" s="335" customFormat="1" hidden="1" spans="1:8">
      <c r="A37" s="379" t="s">
        <v>52</v>
      </c>
      <c r="B37" s="379">
        <f>B19+B26+B27+B28+B29+B30+B31</f>
        <v>17620</v>
      </c>
      <c r="C37" s="379">
        <f>C19+C26+C27+C28+C29+C30+C31</f>
        <v>36340</v>
      </c>
      <c r="D37" s="379">
        <f>D19+D26+D27+D28+D29+D30+D31</f>
        <v>40140</v>
      </c>
      <c r="E37" s="376">
        <f>D37/C37*100</f>
        <v>110.456796917997</v>
      </c>
      <c r="F37" s="377">
        <f>(D37-B37)/B37*100</f>
        <v>127.809307604994</v>
      </c>
      <c r="G37" s="379">
        <f>G19+G26+G27+G28+G29+G30+G31</f>
        <v>34650</v>
      </c>
      <c r="H37" s="378">
        <f t="shared" si="7"/>
        <v>-13.6771300448431</v>
      </c>
    </row>
    <row r="38" hidden="1" spans="1:8">
      <c r="A38" s="380"/>
      <c r="B38" s="378">
        <f>B37/B32*100</f>
        <v>23.9434705802419</v>
      </c>
      <c r="C38" s="380"/>
      <c r="D38" s="378">
        <f>D37/D32*100</f>
        <v>38.4434888375969</v>
      </c>
      <c r="E38" s="378">
        <f>E37/E32*100</f>
        <v>110.01989100468</v>
      </c>
      <c r="F38" s="378">
        <f>F37/F32*100</f>
        <v>305.145084730608</v>
      </c>
      <c r="G38" s="381">
        <f>G37/G32*100</f>
        <v>31.6005471956224</v>
      </c>
      <c r="H38" s="378">
        <f t="shared" si="7"/>
        <v>-17.8000016358614</v>
      </c>
    </row>
    <row r="39" hidden="1" spans="1:8">
      <c r="A39" s="380"/>
      <c r="B39" s="380"/>
      <c r="C39" s="380"/>
      <c r="D39" s="380"/>
      <c r="E39" s="382"/>
      <c r="F39" s="377" t="e">
        <f>(D39-B39)/B39*100</f>
        <v>#DIV/0!</v>
      </c>
      <c r="G39" s="380"/>
      <c r="H39" s="378" t="e">
        <f t="shared" si="7"/>
        <v>#DIV/0!</v>
      </c>
    </row>
    <row r="40" hidden="1" spans="1:8">
      <c r="A40" s="380"/>
      <c r="B40" s="380">
        <f>B32-B37</f>
        <v>55970</v>
      </c>
      <c r="C40" s="380"/>
      <c r="D40" s="380">
        <f>D32-D37</f>
        <v>64273</v>
      </c>
      <c r="E40" s="382"/>
      <c r="F40" s="377">
        <f>(D40-B40)/B40*100</f>
        <v>14.834732892621</v>
      </c>
      <c r="G40" s="380">
        <f>G32-G37</f>
        <v>75000</v>
      </c>
      <c r="H40" s="378">
        <f t="shared" si="7"/>
        <v>16.6897453051826</v>
      </c>
    </row>
    <row r="41" hidden="1" spans="1:8">
      <c r="A41" s="380" t="s">
        <v>53</v>
      </c>
      <c r="B41" s="380">
        <f>B32-B34</f>
        <v>57736</v>
      </c>
      <c r="C41" s="380">
        <f>C32-C34</f>
        <v>70000</v>
      </c>
      <c r="D41" s="380">
        <f>D32-D34</f>
        <v>66223</v>
      </c>
      <c r="E41" s="380"/>
      <c r="F41" s="380">
        <f>F32-F34</f>
        <v>-99.0008139739178</v>
      </c>
      <c r="G41" s="380">
        <f>G32-G34</f>
        <v>77000</v>
      </c>
      <c r="H41" s="378">
        <f t="shared" si="7"/>
        <v>16.2738021533304</v>
      </c>
    </row>
    <row r="42" hidden="1" spans="1:8">
      <c r="A42" s="380"/>
      <c r="B42" s="380"/>
      <c r="C42" s="380"/>
      <c r="D42" s="380"/>
      <c r="E42" s="382"/>
      <c r="F42" s="382"/>
      <c r="G42" s="380"/>
      <c r="H42" s="380"/>
    </row>
    <row r="43" hidden="1" spans="1:8">
      <c r="A43" s="380"/>
      <c r="B43" s="380"/>
      <c r="C43" s="380"/>
      <c r="D43" s="380"/>
      <c r="E43" s="382"/>
      <c r="F43" s="382"/>
      <c r="G43" s="380"/>
      <c r="H43" s="380"/>
    </row>
    <row r="44" spans="1:8">
      <c r="A44" s="380"/>
      <c r="B44" s="380"/>
      <c r="C44" s="380"/>
      <c r="D44" s="380"/>
      <c r="E44" s="382"/>
      <c r="F44" s="382"/>
      <c r="G44" s="380"/>
      <c r="H44" s="380"/>
    </row>
    <row r="45" spans="1:8">
      <c r="A45" s="380"/>
      <c r="B45" s="380"/>
      <c r="C45" s="380"/>
      <c r="D45" s="380"/>
      <c r="E45" s="382"/>
      <c r="F45" s="382"/>
      <c r="G45" s="380"/>
      <c r="H45" s="380"/>
    </row>
    <row r="46" spans="1:8">
      <c r="A46" s="380"/>
      <c r="B46" s="380"/>
      <c r="C46" s="380"/>
      <c r="D46" s="380"/>
      <c r="E46" s="382"/>
      <c r="F46" s="382"/>
      <c r="G46" s="380"/>
      <c r="H46" s="380"/>
    </row>
    <row r="47" spans="1:8">
      <c r="A47" s="380"/>
      <c r="B47" s="380"/>
      <c r="C47" s="380"/>
      <c r="D47" s="380"/>
      <c r="E47" s="382"/>
      <c r="F47" s="382"/>
      <c r="G47" s="380"/>
      <c r="H47" s="380"/>
    </row>
    <row r="48" spans="1:8">
      <c r="A48" s="380"/>
      <c r="B48" s="380"/>
      <c r="C48" s="380"/>
      <c r="D48" s="380"/>
      <c r="E48" s="382"/>
      <c r="F48" s="382"/>
      <c r="G48" s="380"/>
      <c r="H48" s="380"/>
    </row>
    <row r="49" spans="1:8">
      <c r="A49" s="380"/>
      <c r="B49" s="380"/>
      <c r="C49" s="380"/>
      <c r="D49" s="380"/>
      <c r="E49" s="382"/>
      <c r="F49" s="382"/>
      <c r="G49" s="380"/>
      <c r="H49" s="380"/>
    </row>
    <row r="50" spans="1:8">
      <c r="A50" s="380"/>
      <c r="B50" s="380"/>
      <c r="C50" s="380"/>
      <c r="D50" s="380"/>
      <c r="E50" s="382"/>
      <c r="F50" s="382"/>
      <c r="G50" s="380"/>
      <c r="H50" s="380"/>
    </row>
    <row r="51" spans="1:8">
      <c r="A51" s="380"/>
      <c r="B51" s="380"/>
      <c r="C51" s="380"/>
      <c r="D51" s="380"/>
      <c r="E51" s="382"/>
      <c r="F51" s="382"/>
      <c r="G51" s="380"/>
      <c r="H51" s="380"/>
    </row>
  </sheetData>
  <autoFilter ref="A4:H41">
    <extLst/>
  </autoFilter>
  <mergeCells count="6">
    <mergeCell ref="A1:H1"/>
    <mergeCell ref="G2:H2"/>
    <mergeCell ref="C3:F3"/>
    <mergeCell ref="G3:H3"/>
    <mergeCell ref="A3:A4"/>
    <mergeCell ref="B3:B4"/>
  </mergeCells>
  <printOptions horizontalCentered="1"/>
  <pageMargins left="0.393055555555556" right="0.393055555555556" top="0.904166666666667" bottom="0.511805555555556" header="0.509027777777778" footer="0.26875"/>
  <pageSetup paperSize="9" scale="98" orientation="portrait"/>
  <headerFooter alignWithMargins="0">
    <oddFooter>&amp;C&amp;10第 &amp;P 页，共 &amp;N 页</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4"/>
  <sheetViews>
    <sheetView showZeros="0" workbookViewId="0">
      <pane xSplit="2" ySplit="5" topLeftCell="C48" activePane="bottomRight" state="frozen"/>
      <selection/>
      <selection pane="topRight"/>
      <selection pane="bottomLeft"/>
      <selection pane="bottomRight" activeCell="A1" sqref="A1:G1"/>
    </sheetView>
  </sheetViews>
  <sheetFormatPr defaultColWidth="9" defaultRowHeight="50.1" customHeight="1"/>
  <cols>
    <col min="1" max="1" width="7.2" style="282" customWidth="1"/>
    <col min="2" max="2" width="27.5" style="283" customWidth="1"/>
    <col min="3" max="5" width="10" style="284" customWidth="1"/>
    <col min="6" max="6" width="9.7" style="284" customWidth="1"/>
    <col min="7" max="7" width="9.6" style="285" hidden="1" customWidth="1"/>
    <col min="8" max="8" width="11.1" style="286" hidden="1" customWidth="1"/>
    <col min="9" max="9" width="10.4" style="286" hidden="1" customWidth="1"/>
    <col min="10" max="10" width="9" style="286" hidden="1" customWidth="1"/>
    <col min="11" max="11" width="9" style="287" hidden="1" customWidth="1"/>
    <col min="12" max="13" width="9" style="286" hidden="1" customWidth="1"/>
    <col min="14" max="16384" width="9" style="286"/>
  </cols>
  <sheetData>
    <row r="1" ht="21.75" customHeight="1" spans="1:7">
      <c r="A1" s="288" t="s">
        <v>54</v>
      </c>
      <c r="B1" s="289"/>
      <c r="C1" s="289"/>
      <c r="D1" s="289"/>
      <c r="E1" s="289"/>
      <c r="F1" s="290"/>
      <c r="G1" s="291"/>
    </row>
    <row r="2" ht="15" customHeight="1" spans="1:7">
      <c r="A2" s="292"/>
      <c r="B2" s="292"/>
      <c r="C2" s="293"/>
      <c r="D2" s="293"/>
      <c r="E2" s="294" t="s">
        <v>12</v>
      </c>
      <c r="F2" s="294"/>
      <c r="G2" s="295" t="s">
        <v>12</v>
      </c>
    </row>
    <row r="3" ht="19.5" customHeight="1" spans="1:15">
      <c r="A3" s="116" t="s">
        <v>55</v>
      </c>
      <c r="B3" s="113" t="s">
        <v>56</v>
      </c>
      <c r="C3" s="296" t="s">
        <v>57</v>
      </c>
      <c r="D3" s="296" t="s">
        <v>58</v>
      </c>
      <c r="E3" s="296" t="s">
        <v>59</v>
      </c>
      <c r="F3" s="116" t="s">
        <v>20</v>
      </c>
      <c r="G3" s="297" t="s">
        <v>60</v>
      </c>
      <c r="M3" s="311" t="s">
        <v>61</v>
      </c>
      <c r="O3" s="312"/>
    </row>
    <row r="4" ht="12" customHeight="1" spans="1:7">
      <c r="A4" s="296"/>
      <c r="B4" s="296"/>
      <c r="C4" s="296"/>
      <c r="D4" s="296"/>
      <c r="E4" s="296"/>
      <c r="F4" s="296"/>
      <c r="G4" s="298"/>
    </row>
    <row r="5" ht="27.9" customHeight="1" spans="1:12">
      <c r="A5" s="269"/>
      <c r="B5" s="299" t="s">
        <v>62</v>
      </c>
      <c r="C5" s="32">
        <f>C6+C30+C32+C39+C47+C53+C60+C79+C92+C103+C109+C118+C122+C127+C134+C137+C141+C144+C153+C152+C156+C158+C131</f>
        <v>234186</v>
      </c>
      <c r="D5" s="32">
        <f>D6+D30+D32+D39+D47+D53+D60+D79+D92+D103+D109+D118+D122+D127+D131+D134+D137+D141+D153+D152+D156+D158+D144</f>
        <v>361713.187533</v>
      </c>
      <c r="E5" s="32">
        <f>E6+E30+E32+E39+E47+E53+E60+E79+E92+E103+E109+E118+E122+E127+E134+E137+E144+E141+E153+E152+E156+E158+E131</f>
        <v>275051</v>
      </c>
      <c r="F5" s="18">
        <f t="shared" ref="F5:F68" si="0">IFERROR((E5-C5)/C5*100,0)</f>
        <v>17.4498048559692</v>
      </c>
      <c r="G5" s="300"/>
      <c r="H5" s="301">
        <f>C39+C47+C53+C60+C79+C92+C103+C109+C118+C127+C134+C137+C141</f>
        <v>192112</v>
      </c>
      <c r="I5" s="301">
        <f>E39+E47+E53+E60+E79+E92+E103+E109+E118+E127+E134+E137+E141</f>
        <v>230656</v>
      </c>
      <c r="J5" s="286">
        <f>E39+E47+E53+E60+E79+E92+E103+E109+E118+E127+E134+E137+E141</f>
        <v>230656</v>
      </c>
      <c r="K5" s="287">
        <f>J5/E5</f>
        <v>0.83859356991976</v>
      </c>
      <c r="L5" s="287"/>
    </row>
    <row r="6" s="279" customFormat="1" ht="23.1" customHeight="1" spans="1:11">
      <c r="A6" s="302" t="s">
        <v>63</v>
      </c>
      <c r="B6" s="299" t="s">
        <v>64</v>
      </c>
      <c r="C6" s="32">
        <f>SUM(C7:C29)</f>
        <v>29695</v>
      </c>
      <c r="D6" s="32">
        <f>SUM(D7:D29)</f>
        <v>27199.186317</v>
      </c>
      <c r="E6" s="32">
        <f>SUM(E7:E29)</f>
        <v>29565</v>
      </c>
      <c r="F6" s="18">
        <f t="shared" si="0"/>
        <v>-0.437784138743896</v>
      </c>
      <c r="G6" s="303"/>
      <c r="K6" s="313"/>
    </row>
    <row r="7" ht="15.9" customHeight="1" spans="1:11">
      <c r="A7" s="304">
        <v>20101</v>
      </c>
      <c r="B7" s="278" t="s">
        <v>65</v>
      </c>
      <c r="C7" s="201">
        <v>783</v>
      </c>
      <c r="D7" s="305">
        <v>926.74107</v>
      </c>
      <c r="E7" s="305">
        <v>761</v>
      </c>
      <c r="F7" s="22">
        <f t="shared" si="0"/>
        <v>-2.80970625798212</v>
      </c>
      <c r="G7" s="306"/>
      <c r="H7" s="279"/>
      <c r="K7" s="286"/>
    </row>
    <row r="8" ht="15.9" customHeight="1" spans="1:11">
      <c r="A8" s="304">
        <v>20102</v>
      </c>
      <c r="B8" s="278" t="s">
        <v>66</v>
      </c>
      <c r="C8" s="201">
        <v>448</v>
      </c>
      <c r="D8" s="305">
        <v>597.925454</v>
      </c>
      <c r="E8" s="305">
        <v>503</v>
      </c>
      <c r="F8" s="22">
        <f t="shared" si="0"/>
        <v>12.2767857142857</v>
      </c>
      <c r="G8" s="306"/>
      <c r="H8" s="279"/>
      <c r="K8" s="286"/>
    </row>
    <row r="9" ht="15.9" customHeight="1" spans="1:11">
      <c r="A9" s="304">
        <v>20103</v>
      </c>
      <c r="B9" s="278" t="s">
        <v>67</v>
      </c>
      <c r="C9" s="201">
        <v>13101</v>
      </c>
      <c r="D9" s="305">
        <v>9933.078761</v>
      </c>
      <c r="E9" s="305">
        <v>14452</v>
      </c>
      <c r="F9" s="22">
        <f t="shared" si="0"/>
        <v>10.3121899091672</v>
      </c>
      <c r="G9" s="23"/>
      <c r="H9" s="279"/>
      <c r="K9" s="286"/>
    </row>
    <row r="10" ht="15.9" customHeight="1" spans="1:11">
      <c r="A10" s="304">
        <v>20104</v>
      </c>
      <c r="B10" s="278" t="s">
        <v>68</v>
      </c>
      <c r="C10" s="201">
        <v>688</v>
      </c>
      <c r="D10" s="305">
        <v>970.458362</v>
      </c>
      <c r="E10" s="305">
        <v>877</v>
      </c>
      <c r="F10" s="22">
        <f t="shared" si="0"/>
        <v>27.4709302325581</v>
      </c>
      <c r="G10" s="23"/>
      <c r="H10" s="279"/>
      <c r="K10" s="286"/>
    </row>
    <row r="11" ht="15.9" customHeight="1" spans="1:11">
      <c r="A11" s="304">
        <v>20105</v>
      </c>
      <c r="B11" s="278" t="s">
        <v>69</v>
      </c>
      <c r="C11" s="201">
        <v>412</v>
      </c>
      <c r="D11" s="305">
        <v>381.4601</v>
      </c>
      <c r="E11" s="305">
        <v>376</v>
      </c>
      <c r="F11" s="22">
        <f t="shared" si="0"/>
        <v>-8.7378640776699</v>
      </c>
      <c r="G11" s="306"/>
      <c r="H11" s="279"/>
      <c r="K11" s="286"/>
    </row>
    <row r="12" ht="15.9" customHeight="1" spans="1:11">
      <c r="A12" s="304">
        <v>20106</v>
      </c>
      <c r="B12" s="278" t="s">
        <v>70</v>
      </c>
      <c r="C12" s="201">
        <v>1801</v>
      </c>
      <c r="D12" s="305">
        <v>1616.98233</v>
      </c>
      <c r="E12" s="305">
        <v>1367</v>
      </c>
      <c r="F12" s="22">
        <f t="shared" si="0"/>
        <v>-24.0977234869517</v>
      </c>
      <c r="G12" s="306"/>
      <c r="H12" s="279"/>
      <c r="K12" s="286"/>
    </row>
    <row r="13" ht="15.9" customHeight="1" spans="1:11">
      <c r="A13" s="304">
        <v>20107</v>
      </c>
      <c r="B13" s="278" t="s">
        <v>71</v>
      </c>
      <c r="C13" s="201">
        <v>1137</v>
      </c>
      <c r="D13" s="305">
        <v>1159.6232</v>
      </c>
      <c r="E13" s="305">
        <v>984</v>
      </c>
      <c r="F13" s="22">
        <f t="shared" si="0"/>
        <v>-13.4564643799472</v>
      </c>
      <c r="G13" s="306"/>
      <c r="H13" s="279"/>
      <c r="K13" s="286"/>
    </row>
    <row r="14" ht="15.9" customHeight="1" spans="1:11">
      <c r="A14" s="304">
        <v>20108</v>
      </c>
      <c r="B14" s="278" t="s">
        <v>72</v>
      </c>
      <c r="C14" s="201">
        <v>364</v>
      </c>
      <c r="D14" s="305">
        <v>347.886035</v>
      </c>
      <c r="E14" s="305">
        <v>312</v>
      </c>
      <c r="F14" s="22">
        <f t="shared" si="0"/>
        <v>-14.2857142857143</v>
      </c>
      <c r="G14" s="306"/>
      <c r="H14" s="279"/>
      <c r="K14" s="286"/>
    </row>
    <row r="15" ht="15.9" customHeight="1" spans="1:11">
      <c r="A15" s="304">
        <v>20111</v>
      </c>
      <c r="B15" s="278" t="s">
        <v>73</v>
      </c>
      <c r="C15" s="201">
        <v>1517</v>
      </c>
      <c r="D15" s="305">
        <v>1690.268</v>
      </c>
      <c r="E15" s="305">
        <v>1522</v>
      </c>
      <c r="F15" s="22">
        <f t="shared" si="0"/>
        <v>0.3295978905735</v>
      </c>
      <c r="G15" s="306"/>
      <c r="H15" s="279"/>
      <c r="K15" s="286"/>
    </row>
    <row r="16" ht="15.9" customHeight="1" spans="1:11">
      <c r="A16" s="304">
        <v>20113</v>
      </c>
      <c r="B16" s="278" t="s">
        <v>74</v>
      </c>
      <c r="C16" s="201">
        <v>1633</v>
      </c>
      <c r="D16" s="305">
        <v>1124.907474</v>
      </c>
      <c r="E16" s="305">
        <v>1037</v>
      </c>
      <c r="F16" s="22">
        <f t="shared" si="0"/>
        <v>-36.4972443355787</v>
      </c>
      <c r="G16" s="63"/>
      <c r="H16" s="279"/>
      <c r="K16" s="286"/>
    </row>
    <row r="17" ht="15.9" customHeight="1" spans="1:11">
      <c r="A17" s="304">
        <v>20114</v>
      </c>
      <c r="B17" s="278" t="s">
        <v>75</v>
      </c>
      <c r="C17" s="201">
        <v>0</v>
      </c>
      <c r="D17" s="305">
        <v>0</v>
      </c>
      <c r="E17" s="305">
        <v>0</v>
      </c>
      <c r="F17" s="22">
        <f t="shared" si="0"/>
        <v>0</v>
      </c>
      <c r="G17" s="63"/>
      <c r="H17" s="279"/>
      <c r="K17" s="286"/>
    </row>
    <row r="18" ht="15.9" customHeight="1" spans="1:11">
      <c r="A18" s="304">
        <v>20123</v>
      </c>
      <c r="B18" s="278" t="s">
        <v>76</v>
      </c>
      <c r="C18" s="201">
        <v>9</v>
      </c>
      <c r="D18" s="305">
        <v>0</v>
      </c>
      <c r="E18" s="305">
        <v>0</v>
      </c>
      <c r="F18" s="22">
        <f t="shared" si="0"/>
        <v>-100</v>
      </c>
      <c r="G18" s="306"/>
      <c r="H18" s="279"/>
      <c r="K18" s="286"/>
    </row>
    <row r="19" ht="15.9" customHeight="1" spans="1:11">
      <c r="A19" s="304">
        <v>20125</v>
      </c>
      <c r="B19" s="278" t="s">
        <v>77</v>
      </c>
      <c r="C19" s="201">
        <v>31</v>
      </c>
      <c r="D19" s="305">
        <v>48.45</v>
      </c>
      <c r="E19" s="305">
        <v>42</v>
      </c>
      <c r="F19" s="22">
        <f t="shared" si="0"/>
        <v>35.4838709677419</v>
      </c>
      <c r="G19" s="306"/>
      <c r="H19" s="279"/>
      <c r="K19" s="286"/>
    </row>
    <row r="20" ht="15.9" customHeight="1" spans="1:11">
      <c r="A20" s="304">
        <v>20126</v>
      </c>
      <c r="B20" s="278" t="s">
        <v>78</v>
      </c>
      <c r="C20" s="201">
        <v>248</v>
      </c>
      <c r="D20" s="305">
        <v>209.3295</v>
      </c>
      <c r="E20" s="305">
        <v>181</v>
      </c>
      <c r="F20" s="22">
        <f t="shared" si="0"/>
        <v>-27.0161290322581</v>
      </c>
      <c r="G20" s="306"/>
      <c r="H20" s="279"/>
      <c r="K20" s="286"/>
    </row>
    <row r="21" ht="15.9" customHeight="1" spans="1:11">
      <c r="A21" s="304">
        <v>20128</v>
      </c>
      <c r="B21" s="278" t="s">
        <v>79</v>
      </c>
      <c r="C21" s="201">
        <v>57</v>
      </c>
      <c r="D21" s="305">
        <v>61.6788</v>
      </c>
      <c r="E21" s="305">
        <v>55</v>
      </c>
      <c r="F21" s="22">
        <f t="shared" si="0"/>
        <v>-3.50877192982456</v>
      </c>
      <c r="G21" s="306"/>
      <c r="H21" s="279"/>
      <c r="K21" s="286"/>
    </row>
    <row r="22" ht="15.9" customHeight="1" spans="1:11">
      <c r="A22" s="304">
        <v>20129</v>
      </c>
      <c r="B22" s="278" t="s">
        <v>80</v>
      </c>
      <c r="C22" s="201">
        <v>766</v>
      </c>
      <c r="D22" s="305">
        <v>739.88295</v>
      </c>
      <c r="E22" s="305">
        <v>637</v>
      </c>
      <c r="F22" s="22">
        <f t="shared" si="0"/>
        <v>-16.8407310704961</v>
      </c>
      <c r="G22" s="306"/>
      <c r="H22" s="279"/>
      <c r="K22" s="286"/>
    </row>
    <row r="23" ht="15.9" customHeight="1" spans="1:11">
      <c r="A23" s="304">
        <v>20131</v>
      </c>
      <c r="B23" s="278" t="s">
        <v>81</v>
      </c>
      <c r="C23" s="201">
        <v>1086</v>
      </c>
      <c r="D23" s="305">
        <v>1255.6206</v>
      </c>
      <c r="E23" s="305">
        <v>1141</v>
      </c>
      <c r="F23" s="22">
        <f t="shared" si="0"/>
        <v>5.06445672191529</v>
      </c>
      <c r="G23" s="306"/>
      <c r="H23" s="279"/>
      <c r="K23" s="286"/>
    </row>
    <row r="24" ht="15.9" customHeight="1" spans="1:11">
      <c r="A24" s="304">
        <v>20132</v>
      </c>
      <c r="B24" s="278" t="s">
        <v>82</v>
      </c>
      <c r="C24" s="201">
        <v>1081</v>
      </c>
      <c r="D24" s="305">
        <v>1390.18</v>
      </c>
      <c r="E24" s="305">
        <v>1197</v>
      </c>
      <c r="F24" s="22">
        <f t="shared" si="0"/>
        <v>10.7308048103608</v>
      </c>
      <c r="G24" s="306"/>
      <c r="H24" s="279"/>
      <c r="K24" s="286"/>
    </row>
    <row r="25" ht="15.9" customHeight="1" spans="1:11">
      <c r="A25" s="304">
        <v>20133</v>
      </c>
      <c r="B25" s="278" t="s">
        <v>83</v>
      </c>
      <c r="C25" s="201">
        <v>367</v>
      </c>
      <c r="D25" s="305">
        <v>385.64308</v>
      </c>
      <c r="E25" s="305">
        <v>326</v>
      </c>
      <c r="F25" s="22">
        <f t="shared" si="0"/>
        <v>-11.1716621253406</v>
      </c>
      <c r="G25" s="63"/>
      <c r="H25" s="279"/>
      <c r="K25" s="286"/>
    </row>
    <row r="26" ht="15.9" customHeight="1" spans="1:11">
      <c r="A26" s="304">
        <v>20134</v>
      </c>
      <c r="B26" s="278" t="s">
        <v>84</v>
      </c>
      <c r="C26" s="201">
        <v>221</v>
      </c>
      <c r="D26" s="305">
        <v>302.2607</v>
      </c>
      <c r="E26" s="305">
        <v>225</v>
      </c>
      <c r="F26" s="22">
        <f t="shared" si="0"/>
        <v>1.80995475113122</v>
      </c>
      <c r="G26" s="306"/>
      <c r="H26" s="279"/>
      <c r="K26" s="286"/>
    </row>
    <row r="27" ht="15.9" customHeight="1" spans="1:11">
      <c r="A27" s="304">
        <v>20136</v>
      </c>
      <c r="B27" s="278" t="s">
        <v>85</v>
      </c>
      <c r="C27" s="201">
        <v>1613</v>
      </c>
      <c r="D27" s="305">
        <v>1536.495361</v>
      </c>
      <c r="E27" s="305">
        <v>1295</v>
      </c>
      <c r="F27" s="22">
        <f t="shared" si="0"/>
        <v>-19.7148171109733</v>
      </c>
      <c r="G27" s="306"/>
      <c r="H27" s="279"/>
      <c r="K27" s="286"/>
    </row>
    <row r="28" ht="15.9" customHeight="1" spans="1:11">
      <c r="A28" s="304">
        <v>20138</v>
      </c>
      <c r="B28" s="192" t="s">
        <v>86</v>
      </c>
      <c r="C28" s="201">
        <v>2332</v>
      </c>
      <c r="D28" s="305">
        <v>2520.31454</v>
      </c>
      <c r="E28" s="305">
        <v>2175</v>
      </c>
      <c r="F28" s="22">
        <f t="shared" si="0"/>
        <v>-6.73241852487135</v>
      </c>
      <c r="G28" s="306"/>
      <c r="H28" s="279"/>
      <c r="K28" s="286"/>
    </row>
    <row r="29" ht="15.9" customHeight="1" spans="1:11">
      <c r="A29" s="304">
        <v>20199</v>
      </c>
      <c r="B29" s="278" t="s">
        <v>87</v>
      </c>
      <c r="C29" s="201">
        <v>0</v>
      </c>
      <c r="D29" s="305">
        <v>0</v>
      </c>
      <c r="E29" s="305">
        <v>100</v>
      </c>
      <c r="F29" s="22">
        <f t="shared" si="0"/>
        <v>0</v>
      </c>
      <c r="G29" s="306"/>
      <c r="H29" s="279"/>
      <c r="K29" s="286"/>
    </row>
    <row r="30" s="279" customFormat="1" ht="23.1" customHeight="1" spans="1:12">
      <c r="A30" s="302" t="s">
        <v>88</v>
      </c>
      <c r="B30" s="299" t="s">
        <v>89</v>
      </c>
      <c r="C30" s="32">
        <f>SUM(C31:C31)</f>
        <v>339</v>
      </c>
      <c r="D30" s="32">
        <f>SUM(D31:D31)</f>
        <v>285</v>
      </c>
      <c r="E30" s="32">
        <f>SUM(E31:E31)</f>
        <v>315</v>
      </c>
      <c r="F30" s="18">
        <f t="shared" si="0"/>
        <v>-7.07964601769912</v>
      </c>
      <c r="G30" s="307"/>
      <c r="K30" s="313"/>
      <c r="L30" s="286"/>
    </row>
    <row r="31" s="280" customFormat="1" ht="15.9" customHeight="1" spans="1:12">
      <c r="A31" s="304">
        <v>20306</v>
      </c>
      <c r="B31" s="278" t="s">
        <v>90</v>
      </c>
      <c r="C31" s="201">
        <v>339</v>
      </c>
      <c r="D31" s="305">
        <v>285</v>
      </c>
      <c r="E31" s="305">
        <v>315</v>
      </c>
      <c r="F31" s="22">
        <f t="shared" si="0"/>
        <v>-7.07964601769912</v>
      </c>
      <c r="G31" s="302"/>
      <c r="H31" s="279"/>
      <c r="L31" s="286"/>
    </row>
    <row r="32" s="279" customFormat="1" ht="23.1" customHeight="1" spans="1:12">
      <c r="A32" s="302" t="s">
        <v>91</v>
      </c>
      <c r="B32" s="299" t="s">
        <v>92</v>
      </c>
      <c r="C32" s="32">
        <f>SUM(C33:C38)</f>
        <v>3380</v>
      </c>
      <c r="D32" s="32">
        <f>SUM(D33:D38)</f>
        <v>6114</v>
      </c>
      <c r="E32" s="32">
        <f>SUM(E33:E38)</f>
        <v>5160</v>
      </c>
      <c r="F32" s="18">
        <f t="shared" si="0"/>
        <v>52.6627218934911</v>
      </c>
      <c r="G32" s="300"/>
      <c r="K32" s="313"/>
      <c r="L32" s="286"/>
    </row>
    <row r="33" ht="15.9" customHeight="1" spans="1:11">
      <c r="A33" s="304">
        <v>20401</v>
      </c>
      <c r="B33" s="278" t="s">
        <v>93</v>
      </c>
      <c r="C33" s="201">
        <v>0</v>
      </c>
      <c r="D33" s="305">
        <v>28</v>
      </c>
      <c r="E33" s="305">
        <v>0</v>
      </c>
      <c r="F33" s="22">
        <f t="shared" si="0"/>
        <v>0</v>
      </c>
      <c r="G33" s="302"/>
      <c r="H33" s="279"/>
      <c r="K33" s="286"/>
    </row>
    <row r="34" ht="15.9" customHeight="1" spans="1:11">
      <c r="A34" s="304">
        <v>20402</v>
      </c>
      <c r="B34" s="278" t="s">
        <v>94</v>
      </c>
      <c r="C34" s="201">
        <v>1438</v>
      </c>
      <c r="D34" s="305">
        <v>3389</v>
      </c>
      <c r="E34" s="305">
        <v>3207</v>
      </c>
      <c r="F34" s="22">
        <f t="shared" si="0"/>
        <v>123.018080667594</v>
      </c>
      <c r="G34" s="302"/>
      <c r="H34" s="279"/>
      <c r="K34" s="286"/>
    </row>
    <row r="35" ht="15.9" customHeight="1" spans="1:11">
      <c r="A35" s="304">
        <v>20404</v>
      </c>
      <c r="B35" s="278" t="s">
        <v>95</v>
      </c>
      <c r="C35" s="201">
        <v>213</v>
      </c>
      <c r="D35" s="305">
        <v>275</v>
      </c>
      <c r="E35" s="305">
        <v>186</v>
      </c>
      <c r="F35" s="22">
        <f t="shared" si="0"/>
        <v>-12.6760563380282</v>
      </c>
      <c r="G35" s="302"/>
      <c r="H35" s="279"/>
      <c r="K35" s="286"/>
    </row>
    <row r="36" ht="15.9" customHeight="1" spans="1:11">
      <c r="A36" s="304">
        <v>20405</v>
      </c>
      <c r="B36" s="278" t="s">
        <v>96</v>
      </c>
      <c r="C36" s="201">
        <v>520</v>
      </c>
      <c r="D36" s="305">
        <v>633</v>
      </c>
      <c r="E36" s="305">
        <v>439</v>
      </c>
      <c r="F36" s="22">
        <f t="shared" si="0"/>
        <v>-15.5769230769231</v>
      </c>
      <c r="G36" s="302"/>
      <c r="H36" s="279"/>
      <c r="K36" s="286"/>
    </row>
    <row r="37" ht="15.9" customHeight="1" spans="1:11">
      <c r="A37" s="304">
        <v>20406</v>
      </c>
      <c r="B37" s="278" t="s">
        <v>97</v>
      </c>
      <c r="C37" s="201">
        <v>1194</v>
      </c>
      <c r="D37" s="305">
        <v>1530</v>
      </c>
      <c r="E37" s="305">
        <v>1316</v>
      </c>
      <c r="F37" s="22">
        <f t="shared" si="0"/>
        <v>10.2177554438861</v>
      </c>
      <c r="G37" s="302"/>
      <c r="H37" s="279"/>
      <c r="K37" s="286"/>
    </row>
    <row r="38" ht="15.9" customHeight="1" spans="1:11">
      <c r="A38" s="304">
        <v>20499</v>
      </c>
      <c r="B38" s="278" t="s">
        <v>98</v>
      </c>
      <c r="C38" s="201">
        <v>15</v>
      </c>
      <c r="D38" s="305">
        <v>259</v>
      </c>
      <c r="E38" s="305">
        <v>12</v>
      </c>
      <c r="F38" s="22">
        <f t="shared" si="0"/>
        <v>-20</v>
      </c>
      <c r="G38" s="302"/>
      <c r="H38" s="279"/>
      <c r="K38" s="286"/>
    </row>
    <row r="39" s="279" customFormat="1" ht="23.1" customHeight="1" spans="1:12">
      <c r="A39" s="302" t="s">
        <v>99</v>
      </c>
      <c r="B39" s="299" t="s">
        <v>100</v>
      </c>
      <c r="C39" s="32">
        <f>SUM(C40:C46)</f>
        <v>71469</v>
      </c>
      <c r="D39" s="32">
        <f>SUM(D40:D46)</f>
        <v>74107.004481</v>
      </c>
      <c r="E39" s="32">
        <f>SUM(E40:E46)</f>
        <v>62574</v>
      </c>
      <c r="F39" s="18">
        <f t="shared" si="0"/>
        <v>-12.4459555891365</v>
      </c>
      <c r="G39" s="307"/>
      <c r="K39" s="313"/>
      <c r="L39" s="311" t="s">
        <v>101</v>
      </c>
    </row>
    <row r="40" ht="15.9" customHeight="1" spans="1:11">
      <c r="A40" s="304">
        <v>20501</v>
      </c>
      <c r="B40" s="278" t="s">
        <v>102</v>
      </c>
      <c r="C40" s="201">
        <v>377</v>
      </c>
      <c r="D40" s="305">
        <v>231.314841</v>
      </c>
      <c r="E40" s="305">
        <v>200</v>
      </c>
      <c r="F40" s="22">
        <f t="shared" si="0"/>
        <v>-46.9496021220159</v>
      </c>
      <c r="G40" s="302"/>
      <c r="H40" s="279"/>
      <c r="K40" s="286"/>
    </row>
    <row r="41" ht="15.9" customHeight="1" spans="1:11">
      <c r="A41" s="304">
        <v>20502</v>
      </c>
      <c r="B41" s="278" t="s">
        <v>103</v>
      </c>
      <c r="C41" s="201">
        <v>66576</v>
      </c>
      <c r="D41" s="305">
        <v>69221.006659</v>
      </c>
      <c r="E41" s="305">
        <v>58704</v>
      </c>
      <c r="F41" s="22">
        <f t="shared" si="0"/>
        <v>-11.8240807498198</v>
      </c>
      <c r="G41" s="302"/>
      <c r="H41" s="279"/>
      <c r="K41" s="286"/>
    </row>
    <row r="42" ht="15.9" customHeight="1" spans="1:11">
      <c r="A42" s="304">
        <v>20503</v>
      </c>
      <c r="B42" s="278" t="s">
        <v>104</v>
      </c>
      <c r="C42" s="201">
        <v>0</v>
      </c>
      <c r="D42" s="305">
        <v>0</v>
      </c>
      <c r="E42" s="305">
        <v>0</v>
      </c>
      <c r="F42" s="22">
        <f t="shared" si="0"/>
        <v>0</v>
      </c>
      <c r="G42" s="302"/>
      <c r="H42" s="279"/>
      <c r="K42" s="286"/>
    </row>
    <row r="43" ht="15.9" customHeight="1" spans="1:11">
      <c r="A43" s="304">
        <v>20507</v>
      </c>
      <c r="B43" s="278" t="s">
        <v>105</v>
      </c>
      <c r="C43" s="201">
        <v>299</v>
      </c>
      <c r="D43" s="305">
        <v>350.142863</v>
      </c>
      <c r="E43" s="305">
        <v>304</v>
      </c>
      <c r="F43" s="22">
        <f t="shared" si="0"/>
        <v>1.67224080267559</v>
      </c>
      <c r="G43" s="302"/>
      <c r="H43" s="279"/>
      <c r="K43" s="286"/>
    </row>
    <row r="44" ht="15.9" customHeight="1" spans="1:11">
      <c r="A44" s="304">
        <v>20508</v>
      </c>
      <c r="B44" s="278" t="s">
        <v>106</v>
      </c>
      <c r="C44" s="201">
        <v>310</v>
      </c>
      <c r="D44" s="305">
        <v>333.40038</v>
      </c>
      <c r="E44" s="305">
        <v>329</v>
      </c>
      <c r="F44" s="22">
        <f t="shared" si="0"/>
        <v>6.12903225806452</v>
      </c>
      <c r="G44" s="302"/>
      <c r="H44" s="279"/>
      <c r="K44" s="286"/>
    </row>
    <row r="45" ht="15.9" customHeight="1" spans="1:11">
      <c r="A45" s="304">
        <v>20509</v>
      </c>
      <c r="B45" s="278" t="s">
        <v>107</v>
      </c>
      <c r="C45" s="201">
        <v>1766</v>
      </c>
      <c r="D45" s="305">
        <v>2666.71</v>
      </c>
      <c r="E45" s="305">
        <v>1950</v>
      </c>
      <c r="F45" s="22">
        <f t="shared" si="0"/>
        <v>10.4190260475651</v>
      </c>
      <c r="G45" s="302"/>
      <c r="H45" s="279"/>
      <c r="K45" s="286"/>
    </row>
    <row r="46" ht="15.9" customHeight="1" spans="1:11">
      <c r="A46" s="304">
        <v>20599</v>
      </c>
      <c r="B46" s="278" t="s">
        <v>108</v>
      </c>
      <c r="C46" s="201">
        <v>2141</v>
      </c>
      <c r="D46" s="305">
        <v>1304.429738</v>
      </c>
      <c r="E46" s="305">
        <v>1087</v>
      </c>
      <c r="F46" s="22">
        <f t="shared" si="0"/>
        <v>-49.2293320878094</v>
      </c>
      <c r="G46" s="302"/>
      <c r="H46" s="279"/>
      <c r="K46" s="286"/>
    </row>
    <row r="47" s="279" customFormat="1" ht="23.1" customHeight="1" spans="1:12">
      <c r="A47" s="302" t="s">
        <v>109</v>
      </c>
      <c r="B47" s="299" t="s">
        <v>110</v>
      </c>
      <c r="C47" s="32">
        <f>SUM(C48:C52)</f>
        <v>2098</v>
      </c>
      <c r="D47" s="32">
        <f>SUM(D48:D52)</f>
        <v>2665</v>
      </c>
      <c r="E47" s="32">
        <f>SUM(E48:E52)</f>
        <v>2768</v>
      </c>
      <c r="F47" s="18">
        <f t="shared" si="0"/>
        <v>31.9351763584366</v>
      </c>
      <c r="G47" s="307"/>
      <c r="K47" s="313"/>
      <c r="L47" s="286" t="s">
        <v>101</v>
      </c>
    </row>
    <row r="48" ht="15.9" customHeight="1" spans="1:11">
      <c r="A48" s="304">
        <v>20601</v>
      </c>
      <c r="B48" s="278" t="s">
        <v>111</v>
      </c>
      <c r="C48" s="201">
        <v>130</v>
      </c>
      <c r="D48" s="305">
        <v>141</v>
      </c>
      <c r="E48" s="305">
        <v>130</v>
      </c>
      <c r="F48" s="22">
        <f t="shared" si="0"/>
        <v>0</v>
      </c>
      <c r="G48" s="302"/>
      <c r="H48" s="279"/>
      <c r="K48" s="286"/>
    </row>
    <row r="49" ht="15.9" customHeight="1" spans="1:11">
      <c r="A49" s="304">
        <v>20603</v>
      </c>
      <c r="B49" s="278" t="s">
        <v>112</v>
      </c>
      <c r="C49" s="201">
        <v>0</v>
      </c>
      <c r="D49" s="305">
        <v>20</v>
      </c>
      <c r="E49" s="305">
        <v>0</v>
      </c>
      <c r="F49" s="22">
        <f t="shared" si="0"/>
        <v>0</v>
      </c>
      <c r="G49" s="302"/>
      <c r="H49" s="279"/>
      <c r="K49" s="286"/>
    </row>
    <row r="50" ht="15.9" customHeight="1" spans="1:11">
      <c r="A50" s="304">
        <v>20604</v>
      </c>
      <c r="B50" s="308" t="s">
        <v>113</v>
      </c>
      <c r="C50" s="201">
        <v>1871</v>
      </c>
      <c r="D50" s="305">
        <v>2395</v>
      </c>
      <c r="E50" s="305">
        <v>2543</v>
      </c>
      <c r="F50" s="22">
        <f t="shared" si="0"/>
        <v>35.9166221272047</v>
      </c>
      <c r="G50" s="302"/>
      <c r="H50" s="279"/>
      <c r="K50" s="286"/>
    </row>
    <row r="51" ht="15.9" customHeight="1" spans="1:11">
      <c r="A51" s="304">
        <v>20607</v>
      </c>
      <c r="B51" s="278" t="s">
        <v>114</v>
      </c>
      <c r="C51" s="201">
        <v>97</v>
      </c>
      <c r="D51" s="305">
        <v>109</v>
      </c>
      <c r="E51" s="305">
        <v>95</v>
      </c>
      <c r="F51" s="22">
        <f t="shared" si="0"/>
        <v>-2.06185567010309</v>
      </c>
      <c r="G51" s="302"/>
      <c r="H51" s="279"/>
      <c r="K51" s="286"/>
    </row>
    <row r="52" ht="15.9" customHeight="1" spans="1:11">
      <c r="A52" s="304">
        <v>20699</v>
      </c>
      <c r="B52" s="309" t="s">
        <v>115</v>
      </c>
      <c r="C52" s="201">
        <v>0</v>
      </c>
      <c r="D52" s="305"/>
      <c r="E52" s="305">
        <v>0</v>
      </c>
      <c r="F52" s="22">
        <f t="shared" si="0"/>
        <v>0</v>
      </c>
      <c r="G52" s="302"/>
      <c r="H52" s="279"/>
      <c r="K52" s="286"/>
    </row>
    <row r="53" s="279" customFormat="1" ht="23.1" customHeight="1" spans="1:12">
      <c r="A53" s="302" t="s">
        <v>116</v>
      </c>
      <c r="B53" s="299" t="s">
        <v>117</v>
      </c>
      <c r="C53" s="32">
        <f>SUM(C54:C59)</f>
        <v>3823</v>
      </c>
      <c r="D53" s="32">
        <f>SUM(D54:D59)</f>
        <v>3921.197258</v>
      </c>
      <c r="E53" s="32">
        <f>SUM(E54:E59)</f>
        <v>2295</v>
      </c>
      <c r="F53" s="18">
        <f t="shared" si="0"/>
        <v>-39.9686110384515</v>
      </c>
      <c r="G53" s="310"/>
      <c r="K53" s="313"/>
      <c r="L53" s="286" t="s">
        <v>101</v>
      </c>
    </row>
    <row r="54" ht="15.9" customHeight="1" spans="1:11">
      <c r="A54" s="304">
        <v>20701</v>
      </c>
      <c r="B54" s="278" t="s">
        <v>118</v>
      </c>
      <c r="C54" s="201">
        <v>1056</v>
      </c>
      <c r="D54" s="305">
        <v>2094.626358</v>
      </c>
      <c r="E54" s="305">
        <v>1240</v>
      </c>
      <c r="F54" s="22">
        <f t="shared" si="0"/>
        <v>17.4242424242424</v>
      </c>
      <c r="G54" s="302"/>
      <c r="H54" s="279"/>
      <c r="K54" s="286"/>
    </row>
    <row r="55" ht="15.9" customHeight="1" spans="1:11">
      <c r="A55" s="304">
        <v>20702</v>
      </c>
      <c r="B55" s="278" t="s">
        <v>119</v>
      </c>
      <c r="C55" s="201">
        <v>66</v>
      </c>
      <c r="D55" s="305">
        <v>97.11771</v>
      </c>
      <c r="E55" s="305">
        <v>84</v>
      </c>
      <c r="F55" s="22">
        <f t="shared" si="0"/>
        <v>27.2727272727273</v>
      </c>
      <c r="G55" s="302"/>
      <c r="H55" s="279"/>
      <c r="K55" s="286"/>
    </row>
    <row r="56" ht="15.9" customHeight="1" spans="1:11">
      <c r="A56" s="304">
        <v>20703</v>
      </c>
      <c r="B56" s="278" t="s">
        <v>120</v>
      </c>
      <c r="C56" s="201">
        <v>2089</v>
      </c>
      <c r="D56" s="305">
        <v>639.67536</v>
      </c>
      <c r="E56" s="305">
        <v>226</v>
      </c>
      <c r="F56" s="22">
        <f t="shared" si="0"/>
        <v>-89.181426519866</v>
      </c>
      <c r="G56" s="302"/>
      <c r="H56" s="279"/>
      <c r="K56" s="286"/>
    </row>
    <row r="57" ht="15.9" customHeight="1" spans="1:11">
      <c r="A57" s="191">
        <v>20706</v>
      </c>
      <c r="B57" s="192" t="s">
        <v>121</v>
      </c>
      <c r="C57" s="201">
        <v>567</v>
      </c>
      <c r="D57" s="305">
        <v>601.70158</v>
      </c>
      <c r="E57" s="305">
        <v>546</v>
      </c>
      <c r="F57" s="22">
        <f t="shared" si="0"/>
        <v>-3.7037037037037</v>
      </c>
      <c r="G57" s="302"/>
      <c r="H57" s="279"/>
      <c r="K57" s="286"/>
    </row>
    <row r="58" ht="15.9" customHeight="1" spans="1:11">
      <c r="A58" s="191">
        <v>20708</v>
      </c>
      <c r="B58" s="192" t="s">
        <v>122</v>
      </c>
      <c r="C58" s="201">
        <v>29</v>
      </c>
      <c r="D58" s="305">
        <v>101.89625</v>
      </c>
      <c r="E58" s="305">
        <v>83</v>
      </c>
      <c r="F58" s="22">
        <f t="shared" si="0"/>
        <v>186.206896551724</v>
      </c>
      <c r="G58" s="302"/>
      <c r="H58" s="279"/>
      <c r="K58" s="286"/>
    </row>
    <row r="59" ht="15.9" customHeight="1" spans="1:11">
      <c r="A59" s="304">
        <v>20799</v>
      </c>
      <c r="B59" s="278" t="s">
        <v>123</v>
      </c>
      <c r="C59" s="201">
        <v>16</v>
      </c>
      <c r="D59" s="305">
        <v>386.18</v>
      </c>
      <c r="E59" s="305">
        <v>116</v>
      </c>
      <c r="F59" s="22">
        <f t="shared" si="0"/>
        <v>625</v>
      </c>
      <c r="G59" s="302"/>
      <c r="H59" s="279"/>
      <c r="K59" s="286"/>
    </row>
    <row r="60" s="279" customFormat="1" ht="23.1" customHeight="1" spans="1:12">
      <c r="A60" s="302" t="s">
        <v>124</v>
      </c>
      <c r="B60" s="299" t="s">
        <v>125</v>
      </c>
      <c r="C60" s="32">
        <f>SUM(C61:C78)</f>
        <v>43718</v>
      </c>
      <c r="D60" s="32">
        <f>SUM(D61:D78)</f>
        <v>63849.480534</v>
      </c>
      <c r="E60" s="32">
        <f>SUM(E61:E78)</f>
        <v>55957</v>
      </c>
      <c r="F60" s="18">
        <f t="shared" si="0"/>
        <v>27.9953337298138</v>
      </c>
      <c r="G60" s="310"/>
      <c r="K60" s="313"/>
      <c r="L60" s="286" t="s">
        <v>101</v>
      </c>
    </row>
    <row r="61" ht="15.9" customHeight="1" spans="1:11">
      <c r="A61" s="304">
        <v>20801</v>
      </c>
      <c r="B61" s="308" t="s">
        <v>126</v>
      </c>
      <c r="C61" s="201">
        <v>2151</v>
      </c>
      <c r="D61" s="305">
        <v>2677.700643</v>
      </c>
      <c r="E61" s="305">
        <v>2295</v>
      </c>
      <c r="F61" s="22">
        <f t="shared" si="0"/>
        <v>6.69456066945607</v>
      </c>
      <c r="G61" s="302"/>
      <c r="H61" s="279"/>
      <c r="K61" s="286"/>
    </row>
    <row r="62" ht="15.9" customHeight="1" spans="1:11">
      <c r="A62" s="304">
        <v>20802</v>
      </c>
      <c r="B62" s="278" t="s">
        <v>127</v>
      </c>
      <c r="C62" s="201">
        <v>764</v>
      </c>
      <c r="D62" s="305">
        <v>2864.177581</v>
      </c>
      <c r="E62" s="305">
        <v>639</v>
      </c>
      <c r="F62" s="22">
        <f t="shared" si="0"/>
        <v>-16.3612565445026</v>
      </c>
      <c r="G62" s="302"/>
      <c r="H62" s="279"/>
      <c r="K62" s="286"/>
    </row>
    <row r="63" ht="15.9" customHeight="1" spans="1:11">
      <c r="A63" s="304">
        <v>20805</v>
      </c>
      <c r="B63" s="278" t="s">
        <v>128</v>
      </c>
      <c r="C63" s="201">
        <v>21492</v>
      </c>
      <c r="D63" s="305">
        <v>22321.063879</v>
      </c>
      <c r="E63" s="305">
        <v>31164</v>
      </c>
      <c r="F63" s="22">
        <f t="shared" si="0"/>
        <v>45.0027917364601</v>
      </c>
      <c r="G63" s="302"/>
      <c r="H63" s="279"/>
      <c r="K63" s="286"/>
    </row>
    <row r="64" ht="15.9" customHeight="1" spans="1:11">
      <c r="A64" s="304">
        <v>20806</v>
      </c>
      <c r="B64" s="278" t="s">
        <v>129</v>
      </c>
      <c r="C64" s="201">
        <v>0</v>
      </c>
      <c r="D64" s="305">
        <v>0</v>
      </c>
      <c r="E64" s="305">
        <v>0</v>
      </c>
      <c r="F64" s="22">
        <f t="shared" si="0"/>
        <v>0</v>
      </c>
      <c r="G64" s="302"/>
      <c r="H64" s="279"/>
      <c r="K64" s="286"/>
    </row>
    <row r="65" ht="15.9" customHeight="1" spans="1:11">
      <c r="A65" s="304">
        <v>20807</v>
      </c>
      <c r="B65" s="278" t="s">
        <v>130</v>
      </c>
      <c r="C65" s="201">
        <v>1105</v>
      </c>
      <c r="D65" s="305">
        <v>1652.07</v>
      </c>
      <c r="E65" s="305">
        <v>1347</v>
      </c>
      <c r="F65" s="22">
        <f t="shared" si="0"/>
        <v>21.9004524886878</v>
      </c>
      <c r="G65" s="302"/>
      <c r="H65" s="279"/>
      <c r="K65" s="286"/>
    </row>
    <row r="66" ht="15.9" customHeight="1" spans="1:11">
      <c r="A66" s="304">
        <v>20808</v>
      </c>
      <c r="B66" s="278" t="s">
        <v>131</v>
      </c>
      <c r="C66" s="201">
        <v>1990</v>
      </c>
      <c r="D66" s="305">
        <v>2867.96</v>
      </c>
      <c r="E66" s="305">
        <v>2549</v>
      </c>
      <c r="F66" s="22">
        <f t="shared" si="0"/>
        <v>28.0904522613065</v>
      </c>
      <c r="G66" s="302"/>
      <c r="H66" s="279"/>
      <c r="K66" s="286"/>
    </row>
    <row r="67" ht="15.9" customHeight="1" spans="1:11">
      <c r="A67" s="304">
        <v>20809</v>
      </c>
      <c r="B67" s="278" t="s">
        <v>132</v>
      </c>
      <c r="C67" s="201">
        <v>100</v>
      </c>
      <c r="D67" s="305">
        <v>211.306923</v>
      </c>
      <c r="E67" s="305">
        <v>112</v>
      </c>
      <c r="F67" s="22">
        <f t="shared" si="0"/>
        <v>12</v>
      </c>
      <c r="G67" s="302"/>
      <c r="H67" s="279"/>
      <c r="K67" s="286"/>
    </row>
    <row r="68" ht="15.9" customHeight="1" spans="1:11">
      <c r="A68" s="304">
        <v>20810</v>
      </c>
      <c r="B68" s="278" t="s">
        <v>133</v>
      </c>
      <c r="C68" s="201">
        <v>1571</v>
      </c>
      <c r="D68" s="305">
        <v>7378.436831</v>
      </c>
      <c r="E68" s="305">
        <v>1315</v>
      </c>
      <c r="F68" s="22">
        <f t="shared" si="0"/>
        <v>-16.2953532781668</v>
      </c>
      <c r="G68" s="302"/>
      <c r="H68" s="279"/>
      <c r="K68" s="286"/>
    </row>
    <row r="69" ht="15.9" customHeight="1" spans="1:11">
      <c r="A69" s="304">
        <v>20811</v>
      </c>
      <c r="B69" s="278" t="s">
        <v>134</v>
      </c>
      <c r="C69" s="201">
        <v>2475</v>
      </c>
      <c r="D69" s="305">
        <v>2321.311368</v>
      </c>
      <c r="E69" s="305">
        <v>2601</v>
      </c>
      <c r="F69" s="22">
        <f t="shared" ref="F69:F132" si="1">IFERROR((E69-C69)/C69*100,0)</f>
        <v>5.09090909090909</v>
      </c>
      <c r="G69" s="302"/>
      <c r="H69" s="279"/>
      <c r="K69" s="286"/>
    </row>
    <row r="70" ht="15.9" customHeight="1" spans="1:11">
      <c r="A70" s="304">
        <v>20816</v>
      </c>
      <c r="B70" s="278" t="s">
        <v>135</v>
      </c>
      <c r="C70" s="201">
        <v>35</v>
      </c>
      <c r="D70" s="305">
        <v>67.7587</v>
      </c>
      <c r="E70" s="305">
        <v>63</v>
      </c>
      <c r="F70" s="22">
        <f t="shared" si="1"/>
        <v>80</v>
      </c>
      <c r="G70" s="302"/>
      <c r="H70" s="279"/>
      <c r="K70" s="286"/>
    </row>
    <row r="71" ht="15.9" customHeight="1" spans="1:11">
      <c r="A71" s="304">
        <v>20819</v>
      </c>
      <c r="B71" s="314" t="s">
        <v>136</v>
      </c>
      <c r="C71" s="201">
        <v>5800</v>
      </c>
      <c r="D71" s="305">
        <v>992.16</v>
      </c>
      <c r="E71" s="305">
        <v>6082</v>
      </c>
      <c r="F71" s="22">
        <f t="shared" si="1"/>
        <v>4.86206896551724</v>
      </c>
      <c r="G71" s="306"/>
      <c r="H71" s="279"/>
      <c r="K71" s="286"/>
    </row>
    <row r="72" ht="15.9" customHeight="1" spans="1:11">
      <c r="A72" s="304">
        <v>20820</v>
      </c>
      <c r="B72" s="314" t="s">
        <v>137</v>
      </c>
      <c r="C72" s="201">
        <v>130</v>
      </c>
      <c r="D72" s="305">
        <v>124.61</v>
      </c>
      <c r="E72" s="305">
        <v>181</v>
      </c>
      <c r="F72" s="22">
        <f t="shared" si="1"/>
        <v>39.2307692307692</v>
      </c>
      <c r="G72" s="302"/>
      <c r="H72" s="279"/>
      <c r="K72" s="286"/>
    </row>
    <row r="73" ht="15.9" customHeight="1" spans="1:11">
      <c r="A73" s="304">
        <v>20821</v>
      </c>
      <c r="B73" s="314" t="s">
        <v>138</v>
      </c>
      <c r="C73" s="201">
        <v>1565</v>
      </c>
      <c r="D73" s="305">
        <v>5262.22</v>
      </c>
      <c r="E73" s="305">
        <v>1689</v>
      </c>
      <c r="F73" s="22">
        <f t="shared" si="1"/>
        <v>7.92332268370607</v>
      </c>
      <c r="G73" s="302"/>
      <c r="H73" s="279"/>
      <c r="K73" s="286"/>
    </row>
    <row r="74" ht="15.9" customHeight="1" spans="1:11">
      <c r="A74" s="304">
        <v>20825</v>
      </c>
      <c r="B74" s="314" t="s">
        <v>139</v>
      </c>
      <c r="C74" s="201">
        <v>3</v>
      </c>
      <c r="D74" s="305">
        <v>4</v>
      </c>
      <c r="E74" s="305">
        <v>3</v>
      </c>
      <c r="F74" s="22">
        <f t="shared" si="1"/>
        <v>0</v>
      </c>
      <c r="G74" s="302"/>
      <c r="H74" s="279"/>
      <c r="K74" s="286"/>
    </row>
    <row r="75" ht="15.9" customHeight="1" spans="1:11">
      <c r="A75" s="304">
        <v>20826</v>
      </c>
      <c r="B75" s="314" t="s">
        <v>140</v>
      </c>
      <c r="C75" s="201">
        <v>3320</v>
      </c>
      <c r="D75" s="305">
        <v>12948.28</v>
      </c>
      <c r="E75" s="305">
        <v>4312</v>
      </c>
      <c r="F75" s="22">
        <f t="shared" si="1"/>
        <v>29.8795180722892</v>
      </c>
      <c r="G75" s="266"/>
      <c r="H75" s="279"/>
      <c r="K75" s="286"/>
    </row>
    <row r="76" ht="15.9" customHeight="1" spans="1:11">
      <c r="A76" s="315">
        <v>20828</v>
      </c>
      <c r="B76" s="316" t="s">
        <v>141</v>
      </c>
      <c r="C76" s="201">
        <v>759</v>
      </c>
      <c r="D76" s="305">
        <v>970.373825</v>
      </c>
      <c r="E76" s="305">
        <v>900</v>
      </c>
      <c r="F76" s="22">
        <f t="shared" si="1"/>
        <v>18.5770750988142</v>
      </c>
      <c r="G76" s="266"/>
      <c r="H76" s="279"/>
      <c r="K76" s="286"/>
    </row>
    <row r="77" ht="15.9" customHeight="1" spans="1:11">
      <c r="A77" s="191">
        <v>20830</v>
      </c>
      <c r="B77" s="192" t="s">
        <v>142</v>
      </c>
      <c r="C77" s="201">
        <v>406</v>
      </c>
      <c r="D77" s="305">
        <v>606.99</v>
      </c>
      <c r="E77" s="305">
        <v>606</v>
      </c>
      <c r="F77" s="22">
        <f t="shared" si="1"/>
        <v>49.2610837438424</v>
      </c>
      <c r="G77" s="266"/>
      <c r="H77" s="279"/>
      <c r="K77" s="286"/>
    </row>
    <row r="78" ht="15.9" customHeight="1" spans="1:11">
      <c r="A78" s="304">
        <v>20899</v>
      </c>
      <c r="B78" s="278" t="s">
        <v>143</v>
      </c>
      <c r="C78" s="201">
        <v>52</v>
      </c>
      <c r="D78" s="305">
        <v>579.060784</v>
      </c>
      <c r="E78" s="305">
        <v>99</v>
      </c>
      <c r="F78" s="22">
        <f t="shared" si="1"/>
        <v>90.3846153846154</v>
      </c>
      <c r="G78" s="302"/>
      <c r="H78" s="279"/>
      <c r="K78" s="286"/>
    </row>
    <row r="79" s="279" customFormat="1" ht="23.1" customHeight="1" spans="1:12">
      <c r="A79" s="302" t="s">
        <v>144</v>
      </c>
      <c r="B79" s="299" t="s">
        <v>145</v>
      </c>
      <c r="C79" s="32">
        <f>SUM(C80:C91)</f>
        <v>24089</v>
      </c>
      <c r="D79" s="32">
        <f>SUM(D80:D91)</f>
        <v>28571</v>
      </c>
      <c r="E79" s="32">
        <f>SUM(E80:E91)</f>
        <v>23508</v>
      </c>
      <c r="F79" s="18">
        <f t="shared" si="1"/>
        <v>-2.4118892440533</v>
      </c>
      <c r="G79" s="310"/>
      <c r="K79" s="313"/>
      <c r="L79" s="286" t="s">
        <v>101</v>
      </c>
    </row>
    <row r="80" ht="15.9" customHeight="1" spans="1:11">
      <c r="A80" s="304">
        <v>21001</v>
      </c>
      <c r="B80" s="278" t="s">
        <v>146</v>
      </c>
      <c r="C80" s="201">
        <v>538</v>
      </c>
      <c r="D80" s="305">
        <v>655</v>
      </c>
      <c r="E80" s="305">
        <v>570</v>
      </c>
      <c r="F80" s="22">
        <f t="shared" si="1"/>
        <v>5.94795539033457</v>
      </c>
      <c r="G80" s="302"/>
      <c r="H80" s="279"/>
      <c r="K80" s="286"/>
    </row>
    <row r="81" ht="15.9" customHeight="1" spans="1:11">
      <c r="A81" s="304">
        <v>21002</v>
      </c>
      <c r="B81" s="278" t="s">
        <v>147</v>
      </c>
      <c r="C81" s="201">
        <v>1910</v>
      </c>
      <c r="D81" s="305">
        <v>1466</v>
      </c>
      <c r="E81" s="305">
        <v>1225</v>
      </c>
      <c r="F81" s="22">
        <f t="shared" si="1"/>
        <v>-35.8638743455497</v>
      </c>
      <c r="G81" s="302"/>
      <c r="H81" s="279"/>
      <c r="K81" s="286"/>
    </row>
    <row r="82" ht="15.9" customHeight="1" spans="1:11">
      <c r="A82" s="304">
        <v>21003</v>
      </c>
      <c r="B82" s="278" t="s">
        <v>148</v>
      </c>
      <c r="C82" s="201">
        <v>4402</v>
      </c>
      <c r="D82" s="305">
        <v>4929</v>
      </c>
      <c r="E82" s="305">
        <v>4473</v>
      </c>
      <c r="F82" s="22">
        <f t="shared" si="1"/>
        <v>1.61290322580645</v>
      </c>
      <c r="G82" s="302"/>
      <c r="H82" s="279"/>
      <c r="K82" s="286"/>
    </row>
    <row r="83" ht="15.9" customHeight="1" spans="1:11">
      <c r="A83" s="304">
        <v>21004</v>
      </c>
      <c r="B83" s="278" t="s">
        <v>149</v>
      </c>
      <c r="C83" s="201">
        <v>9582</v>
      </c>
      <c r="D83" s="305">
        <v>12929</v>
      </c>
      <c r="E83" s="305">
        <v>7621</v>
      </c>
      <c r="F83" s="22">
        <f t="shared" si="1"/>
        <v>-20.4654560634523</v>
      </c>
      <c r="G83" s="302"/>
      <c r="H83" s="279"/>
      <c r="K83" s="286"/>
    </row>
    <row r="84" ht="15.9" customHeight="1" spans="1:11">
      <c r="A84" s="304">
        <v>21006</v>
      </c>
      <c r="B84" s="278" t="s">
        <v>150</v>
      </c>
      <c r="C84" s="201">
        <v>19</v>
      </c>
      <c r="D84" s="305">
        <v>134</v>
      </c>
      <c r="E84" s="305">
        <v>26</v>
      </c>
      <c r="F84" s="22">
        <f t="shared" si="1"/>
        <v>36.8421052631579</v>
      </c>
      <c r="G84" s="302"/>
      <c r="H84" s="279"/>
      <c r="K84" s="286"/>
    </row>
    <row r="85" ht="15.9" customHeight="1" spans="1:11">
      <c r="A85" s="304">
        <v>21007</v>
      </c>
      <c r="B85" s="278" t="s">
        <v>151</v>
      </c>
      <c r="C85" s="201">
        <v>2171</v>
      </c>
      <c r="D85" s="305">
        <v>2991</v>
      </c>
      <c r="E85" s="305">
        <v>2256</v>
      </c>
      <c r="F85" s="22">
        <f t="shared" si="1"/>
        <v>3.91524643021649</v>
      </c>
      <c r="G85" s="302"/>
      <c r="H85" s="279"/>
      <c r="K85" s="286"/>
    </row>
    <row r="86" s="281" customFormat="1" ht="15.9" customHeight="1" spans="1:12">
      <c r="A86" s="304">
        <v>21011</v>
      </c>
      <c r="B86" s="278" t="s">
        <v>152</v>
      </c>
      <c r="C86" s="201">
        <v>3248</v>
      </c>
      <c r="D86" s="305">
        <v>995</v>
      </c>
      <c r="E86" s="305">
        <v>4567</v>
      </c>
      <c r="F86" s="22">
        <f t="shared" si="1"/>
        <v>40.60960591133</v>
      </c>
      <c r="G86" s="302"/>
      <c r="H86" s="279"/>
      <c r="L86" s="286"/>
    </row>
    <row r="87" s="281" customFormat="1" ht="15.9" customHeight="1" spans="1:12">
      <c r="A87" s="304">
        <v>21012</v>
      </c>
      <c r="B87" s="278" t="s">
        <v>153</v>
      </c>
      <c r="C87" s="201">
        <v>0</v>
      </c>
      <c r="D87" s="305">
        <v>0</v>
      </c>
      <c r="E87" s="305">
        <v>46</v>
      </c>
      <c r="F87" s="22">
        <f t="shared" si="1"/>
        <v>0</v>
      </c>
      <c r="G87" s="302"/>
      <c r="H87" s="279"/>
      <c r="L87" s="286"/>
    </row>
    <row r="88" s="281" customFormat="1" ht="15.9" customHeight="1" spans="1:12">
      <c r="A88" s="304">
        <v>21013</v>
      </c>
      <c r="B88" s="278" t="s">
        <v>154</v>
      </c>
      <c r="C88" s="201">
        <v>1364</v>
      </c>
      <c r="D88" s="305">
        <v>3269</v>
      </c>
      <c r="E88" s="305">
        <v>1687</v>
      </c>
      <c r="F88" s="22">
        <f t="shared" si="1"/>
        <v>23.6803519061584</v>
      </c>
      <c r="G88" s="302"/>
      <c r="H88" s="279"/>
      <c r="L88" s="286"/>
    </row>
    <row r="89" s="281" customFormat="1" ht="15.9" customHeight="1" spans="1:12">
      <c r="A89" s="304">
        <v>21014</v>
      </c>
      <c r="B89" s="278" t="s">
        <v>155</v>
      </c>
      <c r="C89" s="201">
        <v>101</v>
      </c>
      <c r="D89" s="305">
        <v>276</v>
      </c>
      <c r="E89" s="305">
        <v>230</v>
      </c>
      <c r="F89" s="22">
        <f t="shared" si="1"/>
        <v>127.722772277228</v>
      </c>
      <c r="G89" s="302"/>
      <c r="H89" s="279"/>
      <c r="L89" s="286"/>
    </row>
    <row r="90" s="281" customFormat="1" ht="15.9" customHeight="1" spans="1:12">
      <c r="A90" s="191">
        <v>21015</v>
      </c>
      <c r="B90" s="194" t="s">
        <v>156</v>
      </c>
      <c r="C90" s="201">
        <v>447</v>
      </c>
      <c r="D90" s="305">
        <v>532</v>
      </c>
      <c r="E90" s="305">
        <v>507</v>
      </c>
      <c r="F90" s="22">
        <f t="shared" si="1"/>
        <v>13.4228187919463</v>
      </c>
      <c r="G90" s="302"/>
      <c r="H90" s="279"/>
      <c r="L90" s="286"/>
    </row>
    <row r="91" s="281" customFormat="1" ht="15.9" customHeight="1" spans="1:12">
      <c r="A91" s="317">
        <v>21099</v>
      </c>
      <c r="B91" s="318" t="s">
        <v>157</v>
      </c>
      <c r="C91" s="201">
        <v>307</v>
      </c>
      <c r="D91" s="305">
        <v>395</v>
      </c>
      <c r="E91" s="305">
        <v>300</v>
      </c>
      <c r="F91" s="22">
        <f t="shared" si="1"/>
        <v>-2.28013029315961</v>
      </c>
      <c r="G91" s="302"/>
      <c r="H91" s="279"/>
      <c r="L91" s="286"/>
    </row>
    <row r="92" s="279" customFormat="1" ht="23.1" customHeight="1" spans="1:12">
      <c r="A92" s="302" t="s">
        <v>158</v>
      </c>
      <c r="B92" s="299" t="s">
        <v>159</v>
      </c>
      <c r="C92" s="32">
        <f>SUM(C93:C102)</f>
        <v>117</v>
      </c>
      <c r="D92" s="32">
        <f>SUM(D93:D102)</f>
        <v>4170</v>
      </c>
      <c r="E92" s="32">
        <f>SUM(E93:E102)</f>
        <v>568</v>
      </c>
      <c r="F92" s="18">
        <f t="shared" si="1"/>
        <v>385.470085470085</v>
      </c>
      <c r="G92" s="300"/>
      <c r="K92" s="313"/>
      <c r="L92" s="286" t="s">
        <v>101</v>
      </c>
    </row>
    <row r="93" ht="15.9" customHeight="1" spans="1:11">
      <c r="A93" s="304">
        <v>21101</v>
      </c>
      <c r="B93" s="278" t="s">
        <v>160</v>
      </c>
      <c r="C93" s="201">
        <v>38</v>
      </c>
      <c r="D93" s="305">
        <v>43</v>
      </c>
      <c r="E93" s="305">
        <v>41</v>
      </c>
      <c r="F93" s="22">
        <f t="shared" si="1"/>
        <v>7.89473684210526</v>
      </c>
      <c r="G93" s="302"/>
      <c r="H93" s="279"/>
      <c r="K93" s="286"/>
    </row>
    <row r="94" ht="15.9" customHeight="1" spans="1:11">
      <c r="A94" s="304">
        <v>21102</v>
      </c>
      <c r="B94" s="278" t="s">
        <v>161</v>
      </c>
      <c r="C94" s="201">
        <v>0</v>
      </c>
      <c r="D94" s="305"/>
      <c r="E94" s="305">
        <v>0</v>
      </c>
      <c r="F94" s="22">
        <f t="shared" si="1"/>
        <v>0</v>
      </c>
      <c r="G94" s="302"/>
      <c r="H94" s="279"/>
      <c r="K94" s="286"/>
    </row>
    <row r="95" ht="15.9" customHeight="1" spans="1:11">
      <c r="A95" s="304">
        <v>21103</v>
      </c>
      <c r="B95" s="278" t="s">
        <v>162</v>
      </c>
      <c r="C95" s="201">
        <v>21</v>
      </c>
      <c r="D95" s="305">
        <v>2056</v>
      </c>
      <c r="E95" s="305">
        <v>404</v>
      </c>
      <c r="F95" s="22">
        <f t="shared" si="1"/>
        <v>1823.80952380952</v>
      </c>
      <c r="G95" s="302"/>
      <c r="H95" s="279"/>
      <c r="K95" s="286"/>
    </row>
    <row r="96" ht="15.9" customHeight="1" spans="1:11">
      <c r="A96" s="304">
        <v>21104</v>
      </c>
      <c r="B96" s="278" t="s">
        <v>163</v>
      </c>
      <c r="C96" s="201">
        <v>0</v>
      </c>
      <c r="D96" s="305">
        <v>868</v>
      </c>
      <c r="E96" s="305">
        <v>0</v>
      </c>
      <c r="F96" s="22">
        <f t="shared" si="1"/>
        <v>0</v>
      </c>
      <c r="G96" s="302"/>
      <c r="H96" s="279"/>
      <c r="K96" s="286"/>
    </row>
    <row r="97" ht="15.9" customHeight="1" spans="1:11">
      <c r="A97" s="304">
        <v>21105</v>
      </c>
      <c r="B97" s="278" t="s">
        <v>164</v>
      </c>
      <c r="C97" s="201">
        <v>0</v>
      </c>
      <c r="D97" s="305">
        <v>1</v>
      </c>
      <c r="E97" s="305">
        <v>0</v>
      </c>
      <c r="F97" s="22">
        <f t="shared" si="1"/>
        <v>0</v>
      </c>
      <c r="G97" s="302"/>
      <c r="H97" s="279"/>
      <c r="K97" s="286"/>
    </row>
    <row r="98" ht="15.9" customHeight="1" spans="1:11">
      <c r="A98" s="304">
        <v>21110</v>
      </c>
      <c r="B98" s="278" t="s">
        <v>165</v>
      </c>
      <c r="C98" s="201">
        <v>34</v>
      </c>
      <c r="D98" s="305">
        <v>306</v>
      </c>
      <c r="E98" s="305">
        <v>123</v>
      </c>
      <c r="F98" s="22">
        <f t="shared" si="1"/>
        <v>261.764705882353</v>
      </c>
      <c r="G98" s="302"/>
      <c r="H98" s="279"/>
      <c r="K98" s="286"/>
    </row>
    <row r="99" ht="15.9" customHeight="1" spans="1:11">
      <c r="A99" s="304">
        <v>21111</v>
      </c>
      <c r="B99" s="278" t="s">
        <v>166</v>
      </c>
      <c r="C99" s="201">
        <v>0</v>
      </c>
      <c r="D99" s="305">
        <v>0</v>
      </c>
      <c r="E99" s="305">
        <v>0</v>
      </c>
      <c r="F99" s="22">
        <f t="shared" si="1"/>
        <v>0</v>
      </c>
      <c r="G99" s="302"/>
      <c r="H99" s="279"/>
      <c r="K99" s="286"/>
    </row>
    <row r="100" ht="15.9" customHeight="1" spans="1:11">
      <c r="A100" s="304">
        <v>21112</v>
      </c>
      <c r="B100" s="278" t="s">
        <v>167</v>
      </c>
      <c r="C100" s="201">
        <v>0</v>
      </c>
      <c r="D100" s="305">
        <v>60</v>
      </c>
      <c r="E100" s="305">
        <v>0</v>
      </c>
      <c r="F100" s="22">
        <f t="shared" si="1"/>
        <v>0</v>
      </c>
      <c r="G100" s="302"/>
      <c r="H100" s="279"/>
      <c r="K100" s="286"/>
    </row>
    <row r="101" ht="15.9" customHeight="1" spans="1:11">
      <c r="A101" s="304">
        <v>21113</v>
      </c>
      <c r="B101" s="278" t="s">
        <v>168</v>
      </c>
      <c r="C101" s="201">
        <v>0</v>
      </c>
      <c r="D101" s="305"/>
      <c r="E101" s="305">
        <v>0</v>
      </c>
      <c r="F101" s="22">
        <f t="shared" si="1"/>
        <v>0</v>
      </c>
      <c r="G101" s="302"/>
      <c r="H101" s="279"/>
      <c r="K101" s="286"/>
    </row>
    <row r="102" s="281" customFormat="1" ht="15.9" customHeight="1" spans="1:12">
      <c r="A102" s="304">
        <v>21199</v>
      </c>
      <c r="B102" s="278" t="s">
        <v>169</v>
      </c>
      <c r="C102" s="201">
        <v>24</v>
      </c>
      <c r="D102" s="305">
        <v>836</v>
      </c>
      <c r="E102" s="305">
        <v>0</v>
      </c>
      <c r="F102" s="22">
        <f t="shared" si="1"/>
        <v>-100</v>
      </c>
      <c r="G102" s="302"/>
      <c r="H102" s="279"/>
      <c r="L102" s="286"/>
    </row>
    <row r="103" s="279" customFormat="1" ht="23.1" customHeight="1" spans="1:12">
      <c r="A103" s="302" t="s">
        <v>170</v>
      </c>
      <c r="B103" s="299" t="s">
        <v>171</v>
      </c>
      <c r="C103" s="32">
        <f>SUM(C104:C108)</f>
        <v>6331</v>
      </c>
      <c r="D103" s="32">
        <f>SUM(D104:D108)</f>
        <v>18094</v>
      </c>
      <c r="E103" s="32">
        <f>SUM(E104:E108)</f>
        <v>32119</v>
      </c>
      <c r="F103" s="18">
        <f t="shared" si="1"/>
        <v>407.329015953246</v>
      </c>
      <c r="G103" s="300"/>
      <c r="K103" s="313"/>
      <c r="L103" s="286" t="s">
        <v>101</v>
      </c>
    </row>
    <row r="104" ht="15.9" customHeight="1" spans="1:11">
      <c r="A104" s="304">
        <v>21201</v>
      </c>
      <c r="B104" s="278" t="s">
        <v>172</v>
      </c>
      <c r="C104" s="201">
        <v>2844</v>
      </c>
      <c r="D104" s="305">
        <v>3607</v>
      </c>
      <c r="E104" s="305">
        <v>12620</v>
      </c>
      <c r="F104" s="22">
        <f t="shared" si="1"/>
        <v>343.741209563994</v>
      </c>
      <c r="G104" s="302"/>
      <c r="H104" s="279"/>
      <c r="K104" s="286"/>
    </row>
    <row r="105" ht="15.9" customHeight="1" spans="1:11">
      <c r="A105" s="304">
        <v>21202</v>
      </c>
      <c r="B105" s="278" t="s">
        <v>173</v>
      </c>
      <c r="C105" s="201">
        <v>138</v>
      </c>
      <c r="D105" s="305">
        <v>-627</v>
      </c>
      <c r="E105" s="305">
        <v>186</v>
      </c>
      <c r="F105" s="22">
        <f t="shared" si="1"/>
        <v>34.7826086956522</v>
      </c>
      <c r="G105" s="302"/>
      <c r="H105" s="279"/>
      <c r="K105" s="286"/>
    </row>
    <row r="106" ht="15.9" customHeight="1" spans="1:11">
      <c r="A106" s="304">
        <v>21203</v>
      </c>
      <c r="B106" s="278" t="s">
        <v>174</v>
      </c>
      <c r="C106" s="201">
        <v>360</v>
      </c>
      <c r="D106" s="305">
        <v>3517</v>
      </c>
      <c r="E106" s="305">
        <v>12976</v>
      </c>
      <c r="F106" s="22">
        <f t="shared" si="1"/>
        <v>3504.44444444444</v>
      </c>
      <c r="G106" s="302"/>
      <c r="H106" s="279"/>
      <c r="K106" s="286"/>
    </row>
    <row r="107" ht="15.9" customHeight="1" spans="1:11">
      <c r="A107" s="304">
        <v>21205</v>
      </c>
      <c r="B107" s="278" t="s">
        <v>175</v>
      </c>
      <c r="C107" s="201">
        <v>2889</v>
      </c>
      <c r="D107" s="305">
        <v>7567</v>
      </c>
      <c r="E107" s="305">
        <v>5987</v>
      </c>
      <c r="F107" s="22">
        <f t="shared" si="1"/>
        <v>107.234337140879</v>
      </c>
      <c r="G107" s="319"/>
      <c r="H107" s="279"/>
      <c r="K107" s="286"/>
    </row>
    <row r="108" ht="15.9" customHeight="1" spans="1:11">
      <c r="A108" s="304">
        <v>21299</v>
      </c>
      <c r="B108" s="309" t="s">
        <v>176</v>
      </c>
      <c r="C108" s="201">
        <v>100</v>
      </c>
      <c r="D108" s="305">
        <v>4030</v>
      </c>
      <c r="E108" s="305">
        <v>350</v>
      </c>
      <c r="F108" s="22">
        <f t="shared" si="1"/>
        <v>250</v>
      </c>
      <c r="G108" s="319"/>
      <c r="H108" s="279"/>
      <c r="K108" s="286"/>
    </row>
    <row r="109" s="279" customFormat="1" ht="23.1" customHeight="1" spans="1:12">
      <c r="A109" s="302" t="s">
        <v>177</v>
      </c>
      <c r="B109" s="299" t="s">
        <v>178</v>
      </c>
      <c r="C109" s="32">
        <f>SUM(C110:C117)</f>
        <v>32877</v>
      </c>
      <c r="D109" s="32">
        <f>SUM(D110:D117)</f>
        <v>87136.169628</v>
      </c>
      <c r="E109" s="32">
        <f>SUM(E110:E117)</f>
        <v>39485</v>
      </c>
      <c r="F109" s="18">
        <f t="shared" si="1"/>
        <v>20.0991574657055</v>
      </c>
      <c r="G109" s="307"/>
      <c r="K109" s="313"/>
      <c r="L109" s="286" t="s">
        <v>101</v>
      </c>
    </row>
    <row r="110" ht="15.9" customHeight="1" spans="1:11">
      <c r="A110" s="304">
        <v>21301</v>
      </c>
      <c r="B110" s="278" t="s">
        <v>179</v>
      </c>
      <c r="C110" s="201">
        <v>14423</v>
      </c>
      <c r="D110" s="305">
        <v>33662.563912</v>
      </c>
      <c r="E110" s="305">
        <v>17591</v>
      </c>
      <c r="F110" s="22">
        <f t="shared" si="1"/>
        <v>21.9649171462248</v>
      </c>
      <c r="G110" s="302"/>
      <c r="H110" s="279"/>
      <c r="K110" s="286"/>
    </row>
    <row r="111" ht="15.9" customHeight="1" spans="1:11">
      <c r="A111" s="304">
        <v>21302</v>
      </c>
      <c r="B111" s="278" t="s">
        <v>180</v>
      </c>
      <c r="C111" s="201">
        <v>1642</v>
      </c>
      <c r="D111" s="305">
        <v>6971.717526</v>
      </c>
      <c r="E111" s="305">
        <v>3345</v>
      </c>
      <c r="F111" s="22">
        <f t="shared" si="1"/>
        <v>103.714981729598</v>
      </c>
      <c r="G111" s="302"/>
      <c r="H111" s="279"/>
      <c r="K111" s="286"/>
    </row>
    <row r="112" ht="15.9" customHeight="1" spans="1:11">
      <c r="A112" s="304">
        <v>21303</v>
      </c>
      <c r="B112" s="278" t="s">
        <v>181</v>
      </c>
      <c r="C112" s="201">
        <v>3313</v>
      </c>
      <c r="D112" s="305">
        <v>18686.96836</v>
      </c>
      <c r="E112" s="305">
        <v>1915</v>
      </c>
      <c r="F112" s="22">
        <f t="shared" si="1"/>
        <v>-42.197404165409</v>
      </c>
      <c r="G112" s="302"/>
      <c r="H112" s="279"/>
      <c r="K112" s="286"/>
    </row>
    <row r="113" ht="15.9" customHeight="1" spans="1:11">
      <c r="A113" s="304">
        <v>21305</v>
      </c>
      <c r="B113" s="278" t="s">
        <v>182</v>
      </c>
      <c r="C113" s="201">
        <v>12297</v>
      </c>
      <c r="D113" s="305">
        <v>14068.52983</v>
      </c>
      <c r="E113" s="305">
        <v>14074</v>
      </c>
      <c r="F113" s="22">
        <f t="shared" si="1"/>
        <v>14.4506790274051</v>
      </c>
      <c r="G113" s="302"/>
      <c r="H113" s="279"/>
      <c r="K113" s="286"/>
    </row>
    <row r="114" ht="15.9" customHeight="1" spans="1:11">
      <c r="A114" s="304">
        <v>21307</v>
      </c>
      <c r="B114" s="278" t="s">
        <v>183</v>
      </c>
      <c r="C114" s="201">
        <v>594</v>
      </c>
      <c r="D114" s="305">
        <v>7198.38</v>
      </c>
      <c r="E114" s="305">
        <v>1627</v>
      </c>
      <c r="F114" s="22">
        <f t="shared" si="1"/>
        <v>173.905723905724</v>
      </c>
      <c r="G114" s="302"/>
      <c r="H114" s="279"/>
      <c r="K114" s="286"/>
    </row>
    <row r="115" ht="15.9" customHeight="1" spans="1:11">
      <c r="A115" s="304">
        <v>21308</v>
      </c>
      <c r="B115" s="278" t="s">
        <v>184</v>
      </c>
      <c r="C115" s="201">
        <v>392</v>
      </c>
      <c r="D115" s="305">
        <v>4785.84</v>
      </c>
      <c r="E115" s="305">
        <v>694</v>
      </c>
      <c r="F115" s="22">
        <f t="shared" si="1"/>
        <v>77.0408163265306</v>
      </c>
      <c r="G115" s="302"/>
      <c r="H115" s="279"/>
      <c r="K115" s="286"/>
    </row>
    <row r="116" ht="15.9" customHeight="1" spans="1:11">
      <c r="A116" s="304">
        <v>21309</v>
      </c>
      <c r="B116" s="278" t="s">
        <v>185</v>
      </c>
      <c r="C116" s="201">
        <v>0</v>
      </c>
      <c r="D116" s="305">
        <v>12.57</v>
      </c>
      <c r="E116" s="305">
        <v>1</v>
      </c>
      <c r="F116" s="22">
        <f t="shared" si="1"/>
        <v>0</v>
      </c>
      <c r="G116" s="302"/>
      <c r="H116" s="279"/>
      <c r="K116" s="286"/>
    </row>
    <row r="117" ht="15.9" customHeight="1" spans="1:11">
      <c r="A117" s="304">
        <v>21399</v>
      </c>
      <c r="B117" s="278" t="s">
        <v>186</v>
      </c>
      <c r="C117" s="201">
        <v>216</v>
      </c>
      <c r="D117" s="305">
        <v>1749.6</v>
      </c>
      <c r="E117" s="305">
        <v>238</v>
      </c>
      <c r="F117" s="22">
        <f t="shared" si="1"/>
        <v>10.1851851851852</v>
      </c>
      <c r="G117" s="302"/>
      <c r="H117" s="279"/>
      <c r="K117" s="286"/>
    </row>
    <row r="118" s="279" customFormat="1" ht="23.1" customHeight="1" spans="1:16">
      <c r="A118" s="302" t="s">
        <v>187</v>
      </c>
      <c r="B118" s="299" t="s">
        <v>188</v>
      </c>
      <c r="C118" s="32">
        <f>SUM(C119:C121)</f>
        <v>741</v>
      </c>
      <c r="D118" s="32">
        <f>SUM(D119:D121)</f>
        <v>8741.13</v>
      </c>
      <c r="E118" s="32">
        <f>SUM(E119:E121)</f>
        <v>1422</v>
      </c>
      <c r="F118" s="18">
        <f t="shared" si="1"/>
        <v>91.9028340080972</v>
      </c>
      <c r="G118" s="300"/>
      <c r="K118" s="313"/>
      <c r="L118" s="286" t="s">
        <v>101</v>
      </c>
      <c r="P118" s="312"/>
    </row>
    <row r="119" ht="15.9" customHeight="1" spans="1:11">
      <c r="A119" s="304">
        <v>21401</v>
      </c>
      <c r="B119" s="278" t="s">
        <v>189</v>
      </c>
      <c r="C119" s="201">
        <v>741</v>
      </c>
      <c r="D119" s="305">
        <v>5687</v>
      </c>
      <c r="E119" s="305">
        <v>1344</v>
      </c>
      <c r="F119" s="22">
        <f t="shared" si="1"/>
        <v>81.3765182186235</v>
      </c>
      <c r="G119" s="302"/>
      <c r="H119" s="279"/>
      <c r="K119" s="286"/>
    </row>
    <row r="120" ht="15.9" customHeight="1" spans="1:11">
      <c r="A120" s="304">
        <v>21406</v>
      </c>
      <c r="B120" s="278" t="s">
        <v>190</v>
      </c>
      <c r="C120" s="201">
        <v>0</v>
      </c>
      <c r="D120" s="305">
        <v>225</v>
      </c>
      <c r="E120" s="305">
        <v>48</v>
      </c>
      <c r="F120" s="22">
        <f t="shared" si="1"/>
        <v>0</v>
      </c>
      <c r="G120" s="302"/>
      <c r="H120" s="279"/>
      <c r="K120" s="286"/>
    </row>
    <row r="121" s="102" customFormat="1" ht="15.9" customHeight="1" spans="1:12">
      <c r="A121" s="304">
        <v>21499</v>
      </c>
      <c r="B121" s="278" t="s">
        <v>191</v>
      </c>
      <c r="C121" s="201">
        <v>0</v>
      </c>
      <c r="D121" s="305">
        <v>2829.13</v>
      </c>
      <c r="E121" s="305">
        <v>30</v>
      </c>
      <c r="F121" s="22">
        <f t="shared" si="1"/>
        <v>0</v>
      </c>
      <c r="G121" s="302"/>
      <c r="H121" s="279"/>
      <c r="L121" s="286"/>
    </row>
    <row r="122" s="279" customFormat="1" ht="23.1" customHeight="1" spans="1:12">
      <c r="A122" s="302" t="s">
        <v>192</v>
      </c>
      <c r="B122" s="299" t="s">
        <v>193</v>
      </c>
      <c r="C122" s="32">
        <f>SUM(C123:C126)</f>
        <v>417</v>
      </c>
      <c r="D122" s="32">
        <f>SUM(D123:D126)</f>
        <v>1924</v>
      </c>
      <c r="E122" s="32">
        <f>SUM(E123:E126)</f>
        <v>1289</v>
      </c>
      <c r="F122" s="18">
        <f t="shared" si="1"/>
        <v>209.112709832134</v>
      </c>
      <c r="G122" s="320"/>
      <c r="K122" s="313"/>
      <c r="L122" s="286"/>
    </row>
    <row r="123" ht="15.9" customHeight="1" spans="1:11">
      <c r="A123" s="304">
        <v>21502</v>
      </c>
      <c r="B123" s="278" t="s">
        <v>194</v>
      </c>
      <c r="C123" s="201">
        <v>72</v>
      </c>
      <c r="D123" s="305">
        <v>0</v>
      </c>
      <c r="E123" s="305">
        <v>0</v>
      </c>
      <c r="F123" s="22">
        <f t="shared" si="1"/>
        <v>-100</v>
      </c>
      <c r="G123" s="302"/>
      <c r="H123" s="279"/>
      <c r="K123" s="286"/>
    </row>
    <row r="124" ht="15.9" customHeight="1" spans="1:11">
      <c r="A124" s="304">
        <v>21505</v>
      </c>
      <c r="B124" s="278" t="s">
        <v>195</v>
      </c>
      <c r="C124" s="201">
        <v>345</v>
      </c>
      <c r="D124" s="305">
        <v>424</v>
      </c>
      <c r="E124" s="305">
        <v>376</v>
      </c>
      <c r="F124" s="22">
        <f t="shared" si="1"/>
        <v>8.98550724637681</v>
      </c>
      <c r="G124" s="302"/>
      <c r="H124" s="279"/>
      <c r="K124" s="286"/>
    </row>
    <row r="125" ht="15.9" customHeight="1" spans="1:11">
      <c r="A125" s="304">
        <v>21508</v>
      </c>
      <c r="B125" s="278" t="s">
        <v>196</v>
      </c>
      <c r="C125" s="201">
        <v>0</v>
      </c>
      <c r="D125" s="305">
        <v>0</v>
      </c>
      <c r="E125" s="305">
        <v>413</v>
      </c>
      <c r="F125" s="22">
        <f t="shared" si="1"/>
        <v>0</v>
      </c>
      <c r="G125" s="302"/>
      <c r="H125" s="279"/>
      <c r="K125" s="286"/>
    </row>
    <row r="126" ht="15.9" customHeight="1" spans="1:11">
      <c r="A126" s="304">
        <v>21599</v>
      </c>
      <c r="B126" s="278" t="s">
        <v>197</v>
      </c>
      <c r="C126" s="201">
        <v>0</v>
      </c>
      <c r="D126" s="305">
        <v>1500</v>
      </c>
      <c r="E126" s="305">
        <v>500</v>
      </c>
      <c r="F126" s="22">
        <f t="shared" si="1"/>
        <v>0</v>
      </c>
      <c r="G126" s="302"/>
      <c r="H126" s="279"/>
      <c r="K126" s="286"/>
    </row>
    <row r="127" s="279" customFormat="1" ht="23.1" customHeight="1" spans="1:12">
      <c r="A127" s="302" t="s">
        <v>198</v>
      </c>
      <c r="B127" s="299" t="s">
        <v>199</v>
      </c>
      <c r="C127" s="32">
        <f>SUM(C128:C130)</f>
        <v>294</v>
      </c>
      <c r="D127" s="32">
        <f>SUM(D128:D130)</f>
        <v>318</v>
      </c>
      <c r="E127" s="32">
        <f>SUM(E128:E130)</f>
        <v>291</v>
      </c>
      <c r="F127" s="18">
        <f t="shared" si="1"/>
        <v>-1.02040816326531</v>
      </c>
      <c r="G127" s="307"/>
      <c r="K127" s="313"/>
      <c r="L127" s="311" t="s">
        <v>101</v>
      </c>
    </row>
    <row r="128" ht="15.9" customHeight="1" spans="1:11">
      <c r="A128" s="304">
        <v>21602</v>
      </c>
      <c r="B128" s="308" t="s">
        <v>200</v>
      </c>
      <c r="C128" s="201">
        <v>294</v>
      </c>
      <c r="D128" s="305">
        <v>318</v>
      </c>
      <c r="E128" s="305">
        <v>291</v>
      </c>
      <c r="F128" s="22">
        <f t="shared" si="1"/>
        <v>-1.02040816326531</v>
      </c>
      <c r="G128" s="302"/>
      <c r="H128" s="279"/>
      <c r="K128" s="286"/>
    </row>
    <row r="129" ht="15.9" customHeight="1" spans="1:11">
      <c r="A129" s="321">
        <v>21606</v>
      </c>
      <c r="B129" s="322" t="s">
        <v>201</v>
      </c>
      <c r="C129" s="201">
        <v>0</v>
      </c>
      <c r="D129" s="305"/>
      <c r="E129" s="305">
        <v>0</v>
      </c>
      <c r="F129" s="22">
        <f t="shared" si="1"/>
        <v>0</v>
      </c>
      <c r="G129" s="302"/>
      <c r="H129" s="279"/>
      <c r="K129" s="286"/>
    </row>
    <row r="130" ht="15.9" customHeight="1" spans="1:11">
      <c r="A130" s="304">
        <v>21699</v>
      </c>
      <c r="B130" s="308" t="s">
        <v>202</v>
      </c>
      <c r="C130" s="201">
        <v>0</v>
      </c>
      <c r="D130" s="305">
        <v>0</v>
      </c>
      <c r="E130" s="305">
        <v>0</v>
      </c>
      <c r="F130" s="22">
        <f t="shared" si="1"/>
        <v>0</v>
      </c>
      <c r="G130" s="302"/>
      <c r="H130" s="279"/>
      <c r="K130" s="286"/>
    </row>
    <row r="131" s="279" customFormat="1" ht="23.1" customHeight="1" spans="1:12">
      <c r="A131" s="302" t="s">
        <v>203</v>
      </c>
      <c r="B131" s="299" t="s">
        <v>204</v>
      </c>
      <c r="C131" s="32">
        <f>SUM(C132:C133)</f>
        <v>2022</v>
      </c>
      <c r="D131" s="32">
        <f>SUM(D132:D133)</f>
        <v>4416</v>
      </c>
      <c r="E131" s="32">
        <f>E132+E133</f>
        <v>1322</v>
      </c>
      <c r="F131" s="18">
        <f t="shared" si="1"/>
        <v>-34.6191889218595</v>
      </c>
      <c r="G131" s="307"/>
      <c r="J131" s="279">
        <v>828.191531</v>
      </c>
      <c r="K131" s="313"/>
      <c r="L131" s="286"/>
    </row>
    <row r="132" s="281" customFormat="1" ht="15.9" customHeight="1" spans="1:13">
      <c r="A132" s="191">
        <v>21703</v>
      </c>
      <c r="B132" s="193" t="s">
        <v>205</v>
      </c>
      <c r="C132" s="201">
        <v>2022</v>
      </c>
      <c r="D132" s="305">
        <v>4416</v>
      </c>
      <c r="E132" s="305">
        <v>1322</v>
      </c>
      <c r="F132" s="22">
        <f t="shared" si="1"/>
        <v>-34.6191889218595</v>
      </c>
      <c r="G132" s="323"/>
      <c r="H132" s="279"/>
      <c r="I132" s="332"/>
      <c r="J132" s="293"/>
      <c r="K132" s="332"/>
      <c r="L132" s="286"/>
      <c r="M132" s="333"/>
    </row>
    <row r="133" s="281" customFormat="1" ht="15.9" customHeight="1" spans="1:13">
      <c r="A133" s="191">
        <v>21799</v>
      </c>
      <c r="B133" s="193" t="s">
        <v>206</v>
      </c>
      <c r="C133" s="201">
        <v>0</v>
      </c>
      <c r="D133" s="305">
        <v>0</v>
      </c>
      <c r="E133" s="305">
        <v>0</v>
      </c>
      <c r="F133" s="22">
        <f t="shared" ref="F133:F159" si="2">IFERROR((E133-C133)/C133*100,0)</f>
        <v>0</v>
      </c>
      <c r="G133" s="323"/>
      <c r="H133" s="279"/>
      <c r="I133" s="332"/>
      <c r="J133" s="293"/>
      <c r="K133" s="332"/>
      <c r="L133" s="286"/>
      <c r="M133" s="333"/>
    </row>
    <row r="134" s="279" customFormat="1" ht="23.1" customHeight="1" spans="1:12">
      <c r="A134" s="302" t="s">
        <v>207</v>
      </c>
      <c r="B134" s="299" t="s">
        <v>208</v>
      </c>
      <c r="C134" s="32">
        <f>SUM(C135:C136)</f>
        <v>1428</v>
      </c>
      <c r="D134" s="32">
        <f>SUM(D135:D136)</f>
        <v>6375.673249</v>
      </c>
      <c r="E134" s="32">
        <f>SUM(E135:E136)</f>
        <v>2193</v>
      </c>
      <c r="F134" s="18">
        <f t="shared" si="2"/>
        <v>53.5714285714286</v>
      </c>
      <c r="G134" s="300"/>
      <c r="K134" s="313"/>
      <c r="L134" s="311" t="s">
        <v>101</v>
      </c>
    </row>
    <row r="135" ht="15.9" customHeight="1" spans="1:11">
      <c r="A135" s="304">
        <v>22001</v>
      </c>
      <c r="B135" s="308" t="s">
        <v>209</v>
      </c>
      <c r="C135" s="201">
        <v>1336</v>
      </c>
      <c r="D135" s="305">
        <v>6292.237116</v>
      </c>
      <c r="E135" s="305">
        <v>2130</v>
      </c>
      <c r="F135" s="22">
        <f t="shared" si="2"/>
        <v>59.4311377245509</v>
      </c>
      <c r="G135" s="302"/>
      <c r="H135" s="279"/>
      <c r="K135" s="286"/>
    </row>
    <row r="136" ht="15.9" customHeight="1" spans="1:11">
      <c r="A136" s="304">
        <v>22005</v>
      </c>
      <c r="B136" s="308" t="s">
        <v>210</v>
      </c>
      <c r="C136" s="201">
        <v>92</v>
      </c>
      <c r="D136" s="305">
        <v>83.436133</v>
      </c>
      <c r="E136" s="305">
        <v>63</v>
      </c>
      <c r="F136" s="22">
        <f t="shared" si="2"/>
        <v>-31.5217391304348</v>
      </c>
      <c r="G136" s="302"/>
      <c r="H136" s="279"/>
      <c r="K136" s="286"/>
    </row>
    <row r="137" s="279" customFormat="1" ht="23.1" customHeight="1" spans="1:12">
      <c r="A137" s="302" t="s">
        <v>211</v>
      </c>
      <c r="B137" s="299" t="s">
        <v>212</v>
      </c>
      <c r="C137" s="32">
        <f>SUM(C138:C140)</f>
        <v>4470</v>
      </c>
      <c r="D137" s="32">
        <f>SUM(D138:D140)</f>
        <v>7098.346066</v>
      </c>
      <c r="E137" s="32">
        <f>SUM(E138:E139)</f>
        <v>7058</v>
      </c>
      <c r="F137" s="18">
        <f t="shared" si="2"/>
        <v>57.8970917225951</v>
      </c>
      <c r="G137" s="300"/>
      <c r="K137" s="313"/>
      <c r="L137" s="311" t="s">
        <v>101</v>
      </c>
    </row>
    <row r="138" ht="15.9" customHeight="1" spans="1:11">
      <c r="A138" s="304">
        <v>22101</v>
      </c>
      <c r="B138" s="308" t="s">
        <v>213</v>
      </c>
      <c r="C138" s="201">
        <v>1758</v>
      </c>
      <c r="D138" s="305">
        <v>223.65</v>
      </c>
      <c r="E138" s="305">
        <v>139</v>
      </c>
      <c r="F138" s="22">
        <f t="shared" si="2"/>
        <v>-92.0932878270762</v>
      </c>
      <c r="G138" s="302"/>
      <c r="H138" s="279"/>
      <c r="K138" s="286"/>
    </row>
    <row r="139" ht="15.9" customHeight="1" spans="1:11">
      <c r="A139" s="304">
        <v>22102</v>
      </c>
      <c r="B139" s="308" t="s">
        <v>214</v>
      </c>
      <c r="C139" s="201">
        <v>2712</v>
      </c>
      <c r="D139" s="305">
        <v>6874.696066</v>
      </c>
      <c r="E139" s="305">
        <v>6919</v>
      </c>
      <c r="F139" s="22">
        <f t="shared" si="2"/>
        <v>155.125368731563</v>
      </c>
      <c r="G139" s="302"/>
      <c r="H139" s="279"/>
      <c r="K139" s="286"/>
    </row>
    <row r="140" ht="15.9" customHeight="1" spans="1:11">
      <c r="A140" s="304">
        <v>22103</v>
      </c>
      <c r="B140" s="308" t="s">
        <v>215</v>
      </c>
      <c r="C140" s="201">
        <v>0</v>
      </c>
      <c r="D140" s="305"/>
      <c r="E140" s="305">
        <v>0</v>
      </c>
      <c r="F140" s="22">
        <f t="shared" si="2"/>
        <v>0</v>
      </c>
      <c r="G140" s="302"/>
      <c r="H140" s="279"/>
      <c r="K140" s="286"/>
    </row>
    <row r="141" s="279" customFormat="1" ht="23.1" customHeight="1" spans="1:12">
      <c r="A141" s="302" t="s">
        <v>216</v>
      </c>
      <c r="B141" s="299" t="s">
        <v>217</v>
      </c>
      <c r="C141" s="32">
        <f>SUM(C142:C143)</f>
        <v>657</v>
      </c>
      <c r="D141" s="32">
        <f>SUM(D142:D143)</f>
        <v>1912</v>
      </c>
      <c r="E141" s="32">
        <f>SUM(E142:E143)</f>
        <v>418</v>
      </c>
      <c r="F141" s="18">
        <f t="shared" si="2"/>
        <v>-36.3774733637747</v>
      </c>
      <c r="G141" s="300"/>
      <c r="K141" s="313"/>
      <c r="L141" s="311" t="s">
        <v>101</v>
      </c>
    </row>
    <row r="142" ht="15.9" customHeight="1" spans="1:11">
      <c r="A142" s="304">
        <v>22201</v>
      </c>
      <c r="B142" s="308" t="s">
        <v>218</v>
      </c>
      <c r="C142" s="201">
        <v>197</v>
      </c>
      <c r="D142" s="305">
        <v>1092</v>
      </c>
      <c r="E142" s="305">
        <v>49</v>
      </c>
      <c r="F142" s="22">
        <f t="shared" si="2"/>
        <v>-75.1269035532995</v>
      </c>
      <c r="G142" s="302"/>
      <c r="H142" s="279"/>
      <c r="K142" s="286"/>
    </row>
    <row r="143" ht="15.9" customHeight="1" spans="1:11">
      <c r="A143" s="304">
        <v>22204</v>
      </c>
      <c r="B143" s="308" t="s">
        <v>219</v>
      </c>
      <c r="C143" s="201">
        <v>460</v>
      </c>
      <c r="D143" s="305">
        <v>820</v>
      </c>
      <c r="E143" s="305">
        <v>369</v>
      </c>
      <c r="F143" s="22">
        <f t="shared" si="2"/>
        <v>-19.7826086956522</v>
      </c>
      <c r="G143" s="302"/>
      <c r="H143" s="279"/>
      <c r="K143" s="286"/>
    </row>
    <row r="144" s="279" customFormat="1" ht="23.1" customHeight="1" spans="1:12">
      <c r="A144" s="189" t="s">
        <v>220</v>
      </c>
      <c r="B144" s="188" t="s">
        <v>221</v>
      </c>
      <c r="C144" s="324">
        <f>SUM(C145:C151)</f>
        <v>1877</v>
      </c>
      <c r="D144" s="324">
        <f>SUM(D145:D151)</f>
        <v>2432</v>
      </c>
      <c r="E144" s="325">
        <f>SUM(E145:E151)</f>
        <v>1921</v>
      </c>
      <c r="F144" s="18">
        <f t="shared" si="2"/>
        <v>2.34416622269579</v>
      </c>
      <c r="G144" s="310"/>
      <c r="K144" s="313"/>
      <c r="L144" s="286"/>
    </row>
    <row r="145" ht="15.9" customHeight="1" spans="1:11">
      <c r="A145" s="191">
        <v>22401</v>
      </c>
      <c r="B145" s="193" t="s">
        <v>222</v>
      </c>
      <c r="C145" s="201">
        <v>878</v>
      </c>
      <c r="D145" s="305">
        <v>254</v>
      </c>
      <c r="E145" s="305">
        <v>918</v>
      </c>
      <c r="F145" s="22">
        <f t="shared" si="2"/>
        <v>4.55580865603645</v>
      </c>
      <c r="G145" s="302"/>
      <c r="H145" s="279"/>
      <c r="K145" s="286"/>
    </row>
    <row r="146" ht="15.9" customHeight="1" spans="1:11">
      <c r="A146" s="191">
        <v>22402</v>
      </c>
      <c r="B146" s="193" t="s">
        <v>223</v>
      </c>
      <c r="C146" s="201">
        <v>942</v>
      </c>
      <c r="D146" s="305">
        <v>672</v>
      </c>
      <c r="E146" s="305">
        <v>672</v>
      </c>
      <c r="F146" s="22">
        <f t="shared" si="2"/>
        <v>-28.6624203821656</v>
      </c>
      <c r="G146" s="302"/>
      <c r="H146" s="279"/>
      <c r="K146" s="286"/>
    </row>
    <row r="147" ht="15.9" customHeight="1" spans="1:11">
      <c r="A147" s="191">
        <v>22403</v>
      </c>
      <c r="B147" s="193" t="s">
        <v>224</v>
      </c>
      <c r="C147" s="201"/>
      <c r="D147" s="305">
        <v>0</v>
      </c>
      <c r="E147" s="305"/>
      <c r="F147" s="22">
        <f t="shared" si="2"/>
        <v>0</v>
      </c>
      <c r="G147" s="302"/>
      <c r="H147" s="279"/>
      <c r="K147" s="286"/>
    </row>
    <row r="148" ht="15.9" customHeight="1" spans="1:11">
      <c r="A148" s="191">
        <v>22405</v>
      </c>
      <c r="B148" s="193" t="s">
        <v>225</v>
      </c>
      <c r="C148" s="201">
        <v>0</v>
      </c>
      <c r="D148" s="305">
        <v>0</v>
      </c>
      <c r="E148" s="305">
        <v>0</v>
      </c>
      <c r="F148" s="22">
        <f t="shared" si="2"/>
        <v>0</v>
      </c>
      <c r="G148" s="302"/>
      <c r="H148" s="279"/>
      <c r="K148" s="286"/>
    </row>
    <row r="149" ht="15.9" customHeight="1" spans="1:11">
      <c r="A149" s="191">
        <v>22406</v>
      </c>
      <c r="B149" s="193" t="s">
        <v>226</v>
      </c>
      <c r="C149" s="201">
        <v>3</v>
      </c>
      <c r="D149" s="305">
        <v>527</v>
      </c>
      <c r="E149" s="305">
        <v>129</v>
      </c>
      <c r="F149" s="22">
        <f t="shared" si="2"/>
        <v>4200</v>
      </c>
      <c r="G149" s="302"/>
      <c r="H149" s="279"/>
      <c r="K149" s="286"/>
    </row>
    <row r="150" ht="15.9" customHeight="1" spans="1:11">
      <c r="A150" s="191">
        <v>22407</v>
      </c>
      <c r="B150" s="193" t="s">
        <v>227</v>
      </c>
      <c r="C150" s="201">
        <v>54</v>
      </c>
      <c r="D150" s="305">
        <v>279</v>
      </c>
      <c r="E150" s="305">
        <v>167</v>
      </c>
      <c r="F150" s="22">
        <f t="shared" si="2"/>
        <v>209.259259259259</v>
      </c>
      <c r="G150" s="302"/>
      <c r="H150" s="279"/>
      <c r="K150" s="286"/>
    </row>
    <row r="151" s="102" customFormat="1" ht="15.9" customHeight="1" spans="1:12">
      <c r="A151" s="191">
        <v>22499</v>
      </c>
      <c r="B151" s="193" t="s">
        <v>228</v>
      </c>
      <c r="C151" s="201">
        <v>0</v>
      </c>
      <c r="D151" s="305">
        <v>700</v>
      </c>
      <c r="E151" s="305">
        <v>35</v>
      </c>
      <c r="F151" s="22">
        <f t="shared" si="2"/>
        <v>0</v>
      </c>
      <c r="G151" s="302"/>
      <c r="H151" s="279"/>
      <c r="L151" s="286"/>
    </row>
    <row r="152" s="279" customFormat="1" ht="23.1" customHeight="1" spans="1:12">
      <c r="A152" s="302" t="s">
        <v>229</v>
      </c>
      <c r="B152" s="299" t="s">
        <v>230</v>
      </c>
      <c r="C152" s="277"/>
      <c r="D152" s="277">
        <v>2069</v>
      </c>
      <c r="E152" s="324"/>
      <c r="F152" s="18">
        <f t="shared" si="2"/>
        <v>0</v>
      </c>
      <c r="G152" s="310"/>
      <c r="K152" s="313"/>
      <c r="L152" s="286"/>
    </row>
    <row r="153" s="279" customFormat="1" ht="23.1" customHeight="1" spans="1:12">
      <c r="A153" s="302" t="s">
        <v>231</v>
      </c>
      <c r="B153" s="299" t="s">
        <v>232</v>
      </c>
      <c r="C153" s="32">
        <f>SUM(C154:C155)</f>
        <v>99</v>
      </c>
      <c r="D153" s="32">
        <f>SUM(D154:D155)</f>
        <v>6021</v>
      </c>
      <c r="E153" s="32">
        <f>SUM(E154:E155)</f>
        <v>737</v>
      </c>
      <c r="F153" s="18">
        <f t="shared" si="2"/>
        <v>644.444444444444</v>
      </c>
      <c r="G153" s="300"/>
      <c r="K153" s="313"/>
      <c r="L153" s="286"/>
    </row>
    <row r="154" ht="15.9" customHeight="1" spans="1:11">
      <c r="A154" s="304">
        <v>22902</v>
      </c>
      <c r="B154" s="278" t="s">
        <v>233</v>
      </c>
      <c r="C154" s="201"/>
      <c r="D154" s="305">
        <v>189</v>
      </c>
      <c r="E154" s="305"/>
      <c r="F154" s="22">
        <f t="shared" si="2"/>
        <v>0</v>
      </c>
      <c r="G154" s="306"/>
      <c r="H154" s="279"/>
      <c r="K154" s="286"/>
    </row>
    <row r="155" ht="15.9" customHeight="1" spans="1:11">
      <c r="A155" s="304">
        <v>22999</v>
      </c>
      <c r="B155" s="278" t="s">
        <v>234</v>
      </c>
      <c r="C155" s="201">
        <v>99</v>
      </c>
      <c r="D155" s="305">
        <v>5832</v>
      </c>
      <c r="E155" s="305">
        <v>737</v>
      </c>
      <c r="F155" s="22">
        <f t="shared" si="2"/>
        <v>644.444444444444</v>
      </c>
      <c r="G155" s="306"/>
      <c r="H155" s="279"/>
      <c r="K155" s="286"/>
    </row>
    <row r="156" s="279" customFormat="1" ht="23.1" customHeight="1" spans="1:12">
      <c r="A156" s="302" t="s">
        <v>235</v>
      </c>
      <c r="B156" s="326" t="s">
        <v>236</v>
      </c>
      <c r="C156" s="32">
        <f>SUM(C157)</f>
        <v>4219</v>
      </c>
      <c r="D156" s="32">
        <f>SUM(D157)</f>
        <v>4088</v>
      </c>
      <c r="E156" s="32">
        <f>SUM(E157)</f>
        <v>3966</v>
      </c>
      <c r="F156" s="18">
        <f t="shared" si="2"/>
        <v>-5.99668167812278</v>
      </c>
      <c r="G156" s="327"/>
      <c r="J156" s="279">
        <v>624</v>
      </c>
      <c r="K156" s="313"/>
      <c r="L156" s="286"/>
    </row>
    <row r="157" ht="15.9" customHeight="1" spans="1:11">
      <c r="A157" s="328">
        <v>23203</v>
      </c>
      <c r="B157" s="61" t="s">
        <v>237</v>
      </c>
      <c r="C157" s="201">
        <v>4219</v>
      </c>
      <c r="D157" s="305">
        <v>4088</v>
      </c>
      <c r="E157" s="305">
        <v>3966</v>
      </c>
      <c r="F157" s="22">
        <f t="shared" si="2"/>
        <v>-5.99668167812278</v>
      </c>
      <c r="G157" s="201"/>
      <c r="H157" s="279"/>
      <c r="K157" s="286"/>
    </row>
    <row r="158" s="279" customFormat="1" ht="23.1" customHeight="1" spans="1:12">
      <c r="A158" s="329" t="s">
        <v>238</v>
      </c>
      <c r="B158" s="326" t="s">
        <v>239</v>
      </c>
      <c r="C158" s="277">
        <f>SUM(C159)</f>
        <v>26</v>
      </c>
      <c r="D158" s="277">
        <f>SUM(D159)</f>
        <v>206</v>
      </c>
      <c r="E158" s="277">
        <f>SUM(E159)</f>
        <v>120</v>
      </c>
      <c r="F158" s="18">
        <f t="shared" si="2"/>
        <v>361.538461538462</v>
      </c>
      <c r="G158" s="300"/>
      <c r="K158" s="313"/>
      <c r="L158" s="286"/>
    </row>
    <row r="159" ht="15.9" customHeight="1" spans="1:11">
      <c r="A159" s="328">
        <v>23303</v>
      </c>
      <c r="B159" s="61" t="s">
        <v>240</v>
      </c>
      <c r="C159" s="201">
        <v>26</v>
      </c>
      <c r="D159" s="305">
        <v>206</v>
      </c>
      <c r="E159" s="305">
        <v>120</v>
      </c>
      <c r="F159" s="22">
        <f t="shared" si="2"/>
        <v>361.538461538462</v>
      </c>
      <c r="G159" s="302"/>
      <c r="H159" s="279"/>
      <c r="K159" s="286"/>
    </row>
    <row r="160" s="279" customFormat="1" customHeight="1" spans="1:12">
      <c r="A160" s="282"/>
      <c r="B160" s="283"/>
      <c r="C160" s="286"/>
      <c r="D160" s="286"/>
      <c r="E160" s="286"/>
      <c r="F160" s="330"/>
      <c r="G160" s="331"/>
      <c r="H160" s="286"/>
      <c r="I160" s="286"/>
      <c r="J160" s="286"/>
      <c r="K160" s="287"/>
      <c r="L160" s="286"/>
    </row>
    <row r="161" customHeight="1" spans="3:7">
      <c r="C161" s="286"/>
      <c r="D161" s="286"/>
      <c r="E161" s="286"/>
      <c r="F161" s="330"/>
      <c r="G161" s="331"/>
    </row>
    <row r="162" s="279" customFormat="1" customHeight="1" spans="1:12">
      <c r="A162" s="282"/>
      <c r="B162" s="283"/>
      <c r="C162" s="286"/>
      <c r="D162" s="286"/>
      <c r="E162" s="286"/>
      <c r="F162" s="330"/>
      <c r="G162" s="331"/>
      <c r="H162" s="286"/>
      <c r="I162" s="286"/>
      <c r="J162" s="286"/>
      <c r="K162" s="287"/>
      <c r="L162" s="286"/>
    </row>
    <row r="163" customHeight="1" spans="3:7">
      <c r="C163" s="286"/>
      <c r="D163" s="286"/>
      <c r="E163" s="286"/>
      <c r="F163" s="330"/>
      <c r="G163" s="331"/>
    </row>
    <row r="164" customHeight="1" spans="3:7">
      <c r="C164" s="286"/>
      <c r="D164" s="286"/>
      <c r="E164" s="286"/>
      <c r="F164" s="330"/>
      <c r="G164" s="331"/>
    </row>
    <row r="165" customHeight="1" spans="3:7">
      <c r="C165" s="286"/>
      <c r="D165" s="286"/>
      <c r="E165" s="286"/>
      <c r="F165" s="330"/>
      <c r="G165" s="331"/>
    </row>
    <row r="166" customHeight="1" spans="3:7">
      <c r="C166" s="286"/>
      <c r="D166" s="286"/>
      <c r="E166" s="286"/>
      <c r="F166" s="330"/>
      <c r="G166" s="331"/>
    </row>
    <row r="167" customHeight="1" spans="3:7">
      <c r="C167" s="286"/>
      <c r="D167" s="286"/>
      <c r="E167" s="286"/>
      <c r="F167" s="330"/>
      <c r="G167" s="331"/>
    </row>
    <row r="168" customHeight="1" spans="3:7">
      <c r="C168" s="286"/>
      <c r="D168" s="286"/>
      <c r="E168" s="286"/>
      <c r="F168" s="330"/>
      <c r="G168" s="331"/>
    </row>
    <row r="169" customHeight="1" spans="3:7">
      <c r="C169" s="286"/>
      <c r="D169" s="286"/>
      <c r="E169" s="286"/>
      <c r="F169" s="330"/>
      <c r="G169" s="331"/>
    </row>
    <row r="170" customHeight="1" spans="3:7">
      <c r="C170" s="286"/>
      <c r="D170" s="286"/>
      <c r="E170" s="286"/>
      <c r="F170" s="330"/>
      <c r="G170" s="331"/>
    </row>
    <row r="171" customHeight="1" spans="3:7">
      <c r="C171" s="286"/>
      <c r="D171" s="286"/>
      <c r="E171" s="286"/>
      <c r="F171" s="330"/>
      <c r="G171" s="331"/>
    </row>
    <row r="172" customHeight="1" spans="3:7">
      <c r="C172" s="286"/>
      <c r="D172" s="286"/>
      <c r="E172" s="286"/>
      <c r="F172" s="330"/>
      <c r="G172" s="331"/>
    </row>
    <row r="173" customHeight="1" spans="3:7">
      <c r="C173" s="286"/>
      <c r="D173" s="286"/>
      <c r="E173" s="286"/>
      <c r="F173" s="330"/>
      <c r="G173" s="331"/>
    </row>
    <row r="174" customHeight="1" spans="3:7">
      <c r="C174" s="286"/>
      <c r="D174" s="286"/>
      <c r="E174" s="286"/>
      <c r="F174" s="330"/>
      <c r="G174" s="331"/>
    </row>
    <row r="175" customHeight="1" spans="3:7">
      <c r="C175" s="286"/>
      <c r="D175" s="286"/>
      <c r="E175" s="286"/>
      <c r="F175" s="330"/>
      <c r="G175" s="331"/>
    </row>
    <row r="176" customHeight="1" spans="3:7">
      <c r="C176" s="286"/>
      <c r="D176" s="286"/>
      <c r="E176" s="286"/>
      <c r="F176" s="330"/>
      <c r="G176" s="331"/>
    </row>
    <row r="177" customHeight="1" spans="3:7">
      <c r="C177" s="286"/>
      <c r="D177" s="286"/>
      <c r="E177" s="286"/>
      <c r="F177" s="330"/>
      <c r="G177" s="331"/>
    </row>
    <row r="178" customHeight="1" spans="3:7">
      <c r="C178" s="286"/>
      <c r="D178" s="286"/>
      <c r="E178" s="286"/>
      <c r="F178" s="330"/>
      <c r="G178" s="331"/>
    </row>
    <row r="179" customHeight="1" spans="3:7">
      <c r="C179" s="286"/>
      <c r="D179" s="286"/>
      <c r="E179" s="286"/>
      <c r="F179" s="330"/>
      <c r="G179" s="331"/>
    </row>
    <row r="180" customHeight="1" spans="3:7">
      <c r="C180" s="286"/>
      <c r="D180" s="286"/>
      <c r="E180" s="286"/>
      <c r="F180" s="330"/>
      <c r="G180" s="331"/>
    </row>
    <row r="181" customHeight="1" spans="3:7">
      <c r="C181" s="286"/>
      <c r="D181" s="286"/>
      <c r="E181" s="286"/>
      <c r="F181" s="330"/>
      <c r="G181" s="331"/>
    </row>
    <row r="182" customHeight="1" spans="3:7">
      <c r="C182" s="286"/>
      <c r="D182" s="286"/>
      <c r="E182" s="286"/>
      <c r="F182" s="330"/>
      <c r="G182" s="331"/>
    </row>
    <row r="183" customHeight="1" spans="3:7">
      <c r="C183" s="286"/>
      <c r="D183" s="286"/>
      <c r="E183" s="286"/>
      <c r="F183" s="330"/>
      <c r="G183" s="331"/>
    </row>
    <row r="184" customHeight="1" spans="3:7">
      <c r="C184" s="286"/>
      <c r="D184" s="286"/>
      <c r="E184" s="286"/>
      <c r="F184" s="330"/>
      <c r="G184" s="331"/>
    </row>
  </sheetData>
  <autoFilter ref="A5:L159">
    <extLst/>
  </autoFilter>
  <mergeCells count="10">
    <mergeCell ref="A1:G1"/>
    <mergeCell ref="A2:B2"/>
    <mergeCell ref="E2:F2"/>
    <mergeCell ref="A3:A4"/>
    <mergeCell ref="B3:B4"/>
    <mergeCell ref="C3:C4"/>
    <mergeCell ref="D3:D4"/>
    <mergeCell ref="E3:E4"/>
    <mergeCell ref="F3:F4"/>
    <mergeCell ref="G3:G4"/>
  </mergeCells>
  <pageMargins left="0.707638888888889" right="0.275" top="0.747916666666667" bottom="0.432638888888889" header="0.393055555555556" footer="0.196527777777778"/>
  <pageSetup paperSize="9" orientation="portrait"/>
  <headerFooter alignWithMargins="0">
    <oddFooter>&amp;C第 &amp;P 页，共 &amp;N 页</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showZeros="0" workbookViewId="0">
      <pane xSplit="1" ySplit="6" topLeftCell="B7" activePane="bottomRight" state="frozen"/>
      <selection/>
      <selection pane="topRight"/>
      <selection pane="bottomLeft"/>
      <selection pane="bottomRight" activeCell="H25" sqref="H25"/>
    </sheetView>
  </sheetViews>
  <sheetFormatPr defaultColWidth="9" defaultRowHeight="14.25"/>
  <cols>
    <col min="1" max="1" width="36.7" style="236" customWidth="1"/>
    <col min="2" max="2" width="8.6" style="236" customWidth="1"/>
    <col min="3" max="5" width="8.7" style="236" customWidth="1"/>
    <col min="6" max="6" width="9.2" style="236" customWidth="1"/>
    <col min="7" max="7" width="8.1" style="237" customWidth="1"/>
    <col min="8" max="8" width="10.1" style="237" customWidth="1"/>
    <col min="9" max="9" width="14.9" style="236" customWidth="1"/>
    <col min="10" max="10" width="9.4" style="236" hidden="1" customWidth="1"/>
    <col min="11" max="11" width="17.9" style="238" hidden="1" customWidth="1"/>
    <col min="12" max="12" width="9.4" style="236" hidden="1" customWidth="1"/>
    <col min="13" max="13" width="9.2" style="236" hidden="1" customWidth="1"/>
    <col min="14" max="16384" width="9" style="236"/>
  </cols>
  <sheetData>
    <row r="1" ht="22.5" customHeight="1" spans="1:9">
      <c r="A1" s="239" t="s">
        <v>241</v>
      </c>
      <c r="B1" s="239"/>
      <c r="C1" s="239"/>
      <c r="D1" s="239"/>
      <c r="E1" s="239"/>
      <c r="F1" s="239"/>
      <c r="G1" s="239"/>
      <c r="H1" s="239"/>
      <c r="I1" s="239"/>
    </row>
    <row r="2" customHeight="1" spans="1:9">
      <c r="A2" s="240"/>
      <c r="C2" s="241"/>
      <c r="D2" s="240"/>
      <c r="E2" s="241"/>
      <c r="F2" s="241"/>
      <c r="G2" s="242"/>
      <c r="H2" s="243" t="s">
        <v>12</v>
      </c>
      <c r="I2" s="243"/>
    </row>
    <row r="3" s="232" customFormat="1" ht="20.25" customHeight="1" spans="1:11">
      <c r="A3" s="244" t="s">
        <v>13</v>
      </c>
      <c r="B3" s="245" t="s">
        <v>14</v>
      </c>
      <c r="C3" s="246" t="s">
        <v>242</v>
      </c>
      <c r="D3" s="247"/>
      <c r="E3" s="247"/>
      <c r="F3" s="248"/>
      <c r="G3" s="246" t="s">
        <v>243</v>
      </c>
      <c r="H3" s="248"/>
      <c r="I3" s="244" t="s">
        <v>60</v>
      </c>
      <c r="K3" s="273"/>
    </row>
    <row r="4" s="233" customFormat="1" ht="24.75" customHeight="1" spans="1:11">
      <c r="A4" s="249"/>
      <c r="B4" s="250"/>
      <c r="C4" s="244" t="s">
        <v>17</v>
      </c>
      <c r="D4" s="14" t="s">
        <v>18</v>
      </c>
      <c r="E4" s="244" t="s">
        <v>244</v>
      </c>
      <c r="F4" s="244" t="s">
        <v>20</v>
      </c>
      <c r="G4" s="251" t="s">
        <v>17</v>
      </c>
      <c r="H4" s="116" t="s">
        <v>245</v>
      </c>
      <c r="I4" s="249"/>
      <c r="K4" s="274"/>
    </row>
    <row r="5" s="234" customFormat="1" ht="18.75" customHeight="1" spans="1:11">
      <c r="A5" s="252" t="s">
        <v>246</v>
      </c>
      <c r="B5" s="253">
        <f>B6+B7</f>
        <v>73590</v>
      </c>
      <c r="C5" s="254">
        <f>C6+C7</f>
        <v>104000</v>
      </c>
      <c r="D5" s="253">
        <f>D6+D7</f>
        <v>104413</v>
      </c>
      <c r="E5" s="255">
        <f>D5/C5*100</f>
        <v>100.397115384615</v>
      </c>
      <c r="F5" s="255">
        <f>(D5-B5)/B5*100</f>
        <v>41.8847669520315</v>
      </c>
      <c r="G5" s="253">
        <f>G6+G7</f>
        <v>109650</v>
      </c>
      <c r="H5" s="255">
        <f>IFERROR((G5-D5)/D5*100,0)</f>
        <v>5.01565896966853</v>
      </c>
      <c r="I5" s="201"/>
      <c r="K5" s="275">
        <f>D5-C5</f>
        <v>413</v>
      </c>
    </row>
    <row r="6" s="235" customFormat="1" ht="18.75" customHeight="1" spans="1:11">
      <c r="A6" s="256" t="s">
        <v>247</v>
      </c>
      <c r="B6" s="257">
        <v>55971</v>
      </c>
      <c r="C6" s="257">
        <v>67660</v>
      </c>
      <c r="D6" s="257">
        <v>64273</v>
      </c>
      <c r="E6" s="258">
        <f>D6/C6*100</f>
        <v>94.9940880874963</v>
      </c>
      <c r="F6" s="258">
        <f t="shared" ref="F5:F18" si="0">(D6-B6)/B6*100</f>
        <v>14.8326812099123</v>
      </c>
      <c r="G6" s="257">
        <f>表一财政收入表!G33-表一财政收入表!G20</f>
        <v>75000</v>
      </c>
      <c r="H6" s="258">
        <f>IFERROR((G6-D6)/D6*100,0)</f>
        <v>16.6897453051826</v>
      </c>
      <c r="I6" s="201"/>
      <c r="K6" s="276"/>
    </row>
    <row r="7" s="235" customFormat="1" ht="21" customHeight="1" spans="1:11">
      <c r="A7" s="256" t="s">
        <v>248</v>
      </c>
      <c r="B7" s="259">
        <v>17619</v>
      </c>
      <c r="C7" s="259">
        <v>36340</v>
      </c>
      <c r="D7" s="259">
        <v>40140</v>
      </c>
      <c r="E7" s="258">
        <f>D7/C7*100</f>
        <v>110.456796917997</v>
      </c>
      <c r="F7" s="258">
        <f t="shared" si="0"/>
        <v>127.822237357398</v>
      </c>
      <c r="G7" s="257">
        <f>表一财政收入表!G34+表一财政收入表!G20</f>
        <v>34650</v>
      </c>
      <c r="H7" s="258">
        <f>IFERROR((G7-D7)/D7*100,0)</f>
        <v>-13.6771300448431</v>
      </c>
      <c r="I7" s="52"/>
      <c r="K7" s="276"/>
    </row>
    <row r="8" ht="18.75" customHeight="1" spans="1:9">
      <c r="A8" s="260" t="s">
        <v>249</v>
      </c>
      <c r="B8" s="253">
        <f>SUM(B9:B23)</f>
        <v>105447</v>
      </c>
      <c r="C8" s="253">
        <f>SUM(C9:C23)</f>
        <v>94013</v>
      </c>
      <c r="D8" s="253">
        <f>SUM(D9:D23)</f>
        <v>95307</v>
      </c>
      <c r="E8" s="255">
        <f>D8/C8*100</f>
        <v>101.376405390744</v>
      </c>
      <c r="F8" s="255">
        <f t="shared" si="0"/>
        <v>-9.61620529744801</v>
      </c>
      <c r="G8" s="253">
        <f>SUM(G9:G23)</f>
        <v>87917</v>
      </c>
      <c r="H8" s="255">
        <f t="shared" ref="H7:H23" si="1">IFERROR((G8-D8)/D8*100,0)</f>
        <v>-7.7538900605412</v>
      </c>
      <c r="I8" s="201"/>
    </row>
    <row r="9" ht="18.75" customHeight="1" spans="1:9">
      <c r="A9" s="256" t="s">
        <v>250</v>
      </c>
      <c r="B9" s="259">
        <v>1157</v>
      </c>
      <c r="C9" s="261">
        <v>1157</v>
      </c>
      <c r="D9" s="261">
        <v>1157</v>
      </c>
      <c r="E9" s="258">
        <f>D9/C9*100</f>
        <v>100</v>
      </c>
      <c r="F9" s="255">
        <f t="shared" si="0"/>
        <v>0</v>
      </c>
      <c r="G9" s="259">
        <v>1157</v>
      </c>
      <c r="H9" s="255">
        <f t="shared" si="1"/>
        <v>0</v>
      </c>
      <c r="I9" s="201"/>
    </row>
    <row r="10" ht="18.75" customHeight="1" spans="1:9">
      <c r="A10" s="256" t="s">
        <v>251</v>
      </c>
      <c r="B10" s="259">
        <v>584</v>
      </c>
      <c r="C10" s="259">
        <v>584</v>
      </c>
      <c r="D10" s="262">
        <v>584</v>
      </c>
      <c r="E10" s="258">
        <f t="shared" ref="E10:E19" si="2">D10/C10*100</f>
        <v>100</v>
      </c>
      <c r="F10" s="255">
        <f t="shared" si="0"/>
        <v>0</v>
      </c>
      <c r="G10" s="259">
        <v>584</v>
      </c>
      <c r="H10" s="255">
        <f t="shared" si="1"/>
        <v>0</v>
      </c>
      <c r="I10" s="201"/>
    </row>
    <row r="11" ht="18.75" customHeight="1" spans="1:9">
      <c r="A11" s="256" t="s">
        <v>252</v>
      </c>
      <c r="B11" s="259">
        <v>5335</v>
      </c>
      <c r="C11" s="262">
        <v>5335</v>
      </c>
      <c r="D11" s="262">
        <v>5335</v>
      </c>
      <c r="E11" s="258">
        <f t="shared" si="2"/>
        <v>100</v>
      </c>
      <c r="F11" s="255">
        <f t="shared" si="0"/>
        <v>0</v>
      </c>
      <c r="G11" s="259">
        <v>5335</v>
      </c>
      <c r="H11" s="255">
        <f t="shared" si="1"/>
        <v>0</v>
      </c>
      <c r="I11" s="201"/>
    </row>
    <row r="12" ht="18.75" customHeight="1" spans="1:9">
      <c r="A12" s="256" t="s">
        <v>253</v>
      </c>
      <c r="B12" s="259">
        <v>3406</v>
      </c>
      <c r="C12" s="259">
        <v>3406</v>
      </c>
      <c r="D12" s="262">
        <v>3406</v>
      </c>
      <c r="E12" s="258">
        <f t="shared" si="2"/>
        <v>100</v>
      </c>
      <c r="F12" s="255">
        <f t="shared" si="0"/>
        <v>0</v>
      </c>
      <c r="G12" s="259">
        <v>3406</v>
      </c>
      <c r="H12" s="255">
        <f t="shared" si="1"/>
        <v>0</v>
      </c>
      <c r="I12" s="201"/>
    </row>
    <row r="13" ht="18.75" customHeight="1" spans="1:9">
      <c r="A13" s="256" t="s">
        <v>254</v>
      </c>
      <c r="B13" s="259">
        <v>1388</v>
      </c>
      <c r="C13" s="259">
        <v>1388</v>
      </c>
      <c r="D13" s="262">
        <v>1388</v>
      </c>
      <c r="E13" s="258">
        <f t="shared" si="2"/>
        <v>100</v>
      </c>
      <c r="F13" s="255">
        <f t="shared" si="0"/>
        <v>0</v>
      </c>
      <c r="G13" s="259">
        <v>1388</v>
      </c>
      <c r="H13" s="255">
        <f t="shared" si="1"/>
        <v>0</v>
      </c>
      <c r="I13" s="201"/>
    </row>
    <row r="14" ht="18.75" customHeight="1" spans="1:9">
      <c r="A14" s="256" t="s">
        <v>255</v>
      </c>
      <c r="B14" s="259">
        <v>29923</v>
      </c>
      <c r="C14" s="259">
        <v>30773</v>
      </c>
      <c r="D14" s="262">
        <v>30773</v>
      </c>
      <c r="E14" s="258">
        <f t="shared" si="2"/>
        <v>100</v>
      </c>
      <c r="F14" s="258">
        <f t="shared" si="0"/>
        <v>2.84062426895699</v>
      </c>
      <c r="G14" s="259">
        <v>27200</v>
      </c>
      <c r="H14" s="258">
        <f t="shared" si="1"/>
        <v>-11.61082767361</v>
      </c>
      <c r="I14" s="201"/>
    </row>
    <row r="15" ht="18.75" customHeight="1" spans="1:10">
      <c r="A15" s="256" t="s">
        <v>256</v>
      </c>
      <c r="B15" s="259">
        <v>18810</v>
      </c>
      <c r="C15" s="259">
        <v>17989</v>
      </c>
      <c r="D15" s="262">
        <v>19186</v>
      </c>
      <c r="E15" s="258">
        <f t="shared" si="2"/>
        <v>106.654066373895</v>
      </c>
      <c r="F15" s="258">
        <f t="shared" si="0"/>
        <v>1.99893673577884</v>
      </c>
      <c r="G15" s="259">
        <v>18108</v>
      </c>
      <c r="H15" s="258">
        <f t="shared" si="1"/>
        <v>-5.61868028770979</v>
      </c>
      <c r="I15" s="201"/>
      <c r="J15" s="236" t="s">
        <v>257</v>
      </c>
    </row>
    <row r="16" ht="18.75" customHeight="1" spans="1:9">
      <c r="A16" s="256" t="s">
        <v>258</v>
      </c>
      <c r="B16" s="259">
        <v>189</v>
      </c>
      <c r="C16" s="259">
        <v>622</v>
      </c>
      <c r="D16" s="262">
        <v>688</v>
      </c>
      <c r="E16" s="258">
        <f t="shared" si="2"/>
        <v>110.610932475884</v>
      </c>
      <c r="F16" s="258">
        <f t="shared" si="0"/>
        <v>264.021164021164</v>
      </c>
      <c r="G16" s="259">
        <v>492</v>
      </c>
      <c r="H16" s="258">
        <f t="shared" si="1"/>
        <v>-28.4883720930233</v>
      </c>
      <c r="I16" s="201"/>
    </row>
    <row r="17" ht="18.75" customHeight="1" spans="1:9">
      <c r="A17" s="256" t="s">
        <v>259</v>
      </c>
      <c r="B17" s="259">
        <v>16204</v>
      </c>
      <c r="C17" s="259">
        <v>16220</v>
      </c>
      <c r="D17" s="262">
        <v>16220</v>
      </c>
      <c r="E17" s="258">
        <f t="shared" si="2"/>
        <v>100</v>
      </c>
      <c r="F17" s="258">
        <f t="shared" si="0"/>
        <v>0.0987410515921995</v>
      </c>
      <c r="G17" s="259">
        <v>16220</v>
      </c>
      <c r="H17" s="258">
        <f t="shared" si="1"/>
        <v>0</v>
      </c>
      <c r="I17" s="201"/>
    </row>
    <row r="18" ht="18.75" customHeight="1" spans="1:9">
      <c r="A18" s="256" t="s">
        <v>260</v>
      </c>
      <c r="B18" s="259">
        <v>3929</v>
      </c>
      <c r="C18" s="259">
        <v>3929</v>
      </c>
      <c r="D18" s="262">
        <v>3929</v>
      </c>
      <c r="E18" s="258">
        <f t="shared" si="2"/>
        <v>100</v>
      </c>
      <c r="F18" s="258">
        <f t="shared" si="0"/>
        <v>0</v>
      </c>
      <c r="G18" s="259">
        <v>3929</v>
      </c>
      <c r="H18" s="258">
        <f t="shared" si="1"/>
        <v>0</v>
      </c>
      <c r="I18" s="201"/>
    </row>
    <row r="19" ht="18.75" customHeight="1" spans="1:9">
      <c r="A19" s="256" t="s">
        <v>261</v>
      </c>
      <c r="B19" s="259">
        <v>1296</v>
      </c>
      <c r="C19" s="259">
        <v>548</v>
      </c>
      <c r="D19" s="259">
        <v>579</v>
      </c>
      <c r="E19" s="258">
        <f t="shared" si="2"/>
        <v>105.656934306569</v>
      </c>
      <c r="F19" s="258"/>
      <c r="G19" s="263"/>
      <c r="H19" s="258">
        <f t="shared" si="1"/>
        <v>-100</v>
      </c>
      <c r="I19" s="201"/>
    </row>
    <row r="20" ht="18.75" customHeight="1" spans="1:9">
      <c r="A20" s="256" t="s">
        <v>262</v>
      </c>
      <c r="B20" s="259">
        <v>8267</v>
      </c>
      <c r="C20" s="259"/>
      <c r="D20" s="259"/>
      <c r="E20" s="258"/>
      <c r="F20" s="258"/>
      <c r="G20" s="263"/>
      <c r="H20" s="258">
        <f t="shared" si="1"/>
        <v>0</v>
      </c>
      <c r="I20" s="201"/>
    </row>
    <row r="21" ht="18.75" customHeight="1" spans="1:9">
      <c r="A21" s="256" t="s">
        <v>263</v>
      </c>
      <c r="B21" s="259">
        <v>3140</v>
      </c>
      <c r="C21" s="259">
        <v>1964</v>
      </c>
      <c r="D21" s="259">
        <v>1964</v>
      </c>
      <c r="E21" s="258">
        <f>D21/C21*100</f>
        <v>100</v>
      </c>
      <c r="F21" s="258"/>
      <c r="G21" s="263"/>
      <c r="H21" s="258">
        <f t="shared" si="1"/>
        <v>-100</v>
      </c>
      <c r="I21" s="201"/>
    </row>
    <row r="22" ht="18.75" customHeight="1" spans="1:9">
      <c r="A22" s="256" t="s">
        <v>264</v>
      </c>
      <c r="B22" s="259">
        <v>98</v>
      </c>
      <c r="C22" s="259">
        <v>98</v>
      </c>
      <c r="D22" s="262">
        <v>98</v>
      </c>
      <c r="E22" s="258">
        <f>D22/C22*100</f>
        <v>100</v>
      </c>
      <c r="F22" s="258">
        <f>(D22-B22)/B22*100</f>
        <v>0</v>
      </c>
      <c r="G22" s="259">
        <v>98</v>
      </c>
      <c r="H22" s="258">
        <f t="shared" si="1"/>
        <v>0</v>
      </c>
      <c r="I22" s="201"/>
    </row>
    <row r="23" ht="18.75" customHeight="1" spans="1:9">
      <c r="A23" s="256" t="s">
        <v>265</v>
      </c>
      <c r="B23" s="259">
        <v>11721</v>
      </c>
      <c r="C23" s="259">
        <v>10000</v>
      </c>
      <c r="D23" s="259">
        <v>10000</v>
      </c>
      <c r="E23" s="258">
        <f>D23/C23*100</f>
        <v>100</v>
      </c>
      <c r="F23" s="258">
        <f t="shared" ref="F23:F39" si="3">(D23-B23)/B23*100</f>
        <v>-14.6830475215425</v>
      </c>
      <c r="G23" s="259">
        <v>10000</v>
      </c>
      <c r="H23" s="258">
        <f t="shared" si="1"/>
        <v>0</v>
      </c>
      <c r="I23" s="201"/>
    </row>
    <row r="24" s="234" customFormat="1" ht="36" customHeight="1" spans="1:11">
      <c r="A24" s="260" t="s">
        <v>266</v>
      </c>
      <c r="B24" s="253">
        <f>B25+B26</f>
        <v>114222</v>
      </c>
      <c r="C24" s="253">
        <f>C25+C26</f>
        <v>115441.63</v>
      </c>
      <c r="D24" s="253">
        <f>D25+D26</f>
        <v>125978</v>
      </c>
      <c r="E24" s="255">
        <f t="shared" ref="E24:E35" si="4">D24/C24*100</f>
        <v>109.12701076726</v>
      </c>
      <c r="F24" s="255">
        <f t="shared" si="3"/>
        <v>10.2922379226419</v>
      </c>
      <c r="G24" s="253">
        <f>G25+G26</f>
        <v>62965.812227</v>
      </c>
      <c r="H24" s="255">
        <f>IFERROR((G24-D24)/D24*100,0)</f>
        <v>-50.0184062082268</v>
      </c>
      <c r="I24" s="61" t="s">
        <v>267</v>
      </c>
      <c r="K24" s="275"/>
    </row>
    <row r="25" s="234" customFormat="1" ht="18.75" customHeight="1" spans="1:11">
      <c r="A25" s="23" t="s">
        <v>268</v>
      </c>
      <c r="B25" s="264">
        <v>104274</v>
      </c>
      <c r="C25" s="265">
        <v>103306.83</v>
      </c>
      <c r="D25" s="265">
        <f>108919+3470</f>
        <v>112389</v>
      </c>
      <c r="E25" s="258">
        <f t="shared" si="4"/>
        <v>108.791451639742</v>
      </c>
      <c r="F25" s="258">
        <f t="shared" si="3"/>
        <v>7.78238103458197</v>
      </c>
      <c r="G25" s="265">
        <f>表四一般公共预算支出预算表!N6</f>
        <v>62965.812227</v>
      </c>
      <c r="H25" s="258">
        <f>IFERROR((G25-D25)/D25*100,0)</f>
        <v>-43.9751112413137</v>
      </c>
      <c r="I25" s="61"/>
      <c r="K25" s="275"/>
    </row>
    <row r="26" s="234" customFormat="1" ht="18.75" customHeight="1" spans="1:11">
      <c r="A26" s="23" t="s">
        <v>269</v>
      </c>
      <c r="B26" s="264">
        <v>9948</v>
      </c>
      <c r="C26" s="265">
        <v>12134.8</v>
      </c>
      <c r="D26" s="265">
        <v>13589</v>
      </c>
      <c r="E26" s="258">
        <f t="shared" si="4"/>
        <v>111.983716254079</v>
      </c>
      <c r="F26" s="258">
        <f t="shared" si="3"/>
        <v>36.600321672698</v>
      </c>
      <c r="G26" s="265"/>
      <c r="H26" s="258">
        <f>IFERROR((G26-D26)/D26*100,0)</f>
        <v>-100</v>
      </c>
      <c r="I26" s="61"/>
      <c r="K26" s="275"/>
    </row>
    <row r="27" s="234" customFormat="1" ht="18.75" customHeight="1" spans="1:13">
      <c r="A27" s="266" t="s">
        <v>270</v>
      </c>
      <c r="B27" s="267">
        <v>23557</v>
      </c>
      <c r="C27" s="253">
        <f>121573</f>
        <v>121573</v>
      </c>
      <c r="D27" s="253">
        <f>121573-940</f>
        <v>120633</v>
      </c>
      <c r="E27" s="255">
        <f t="shared" si="4"/>
        <v>99.2268020037344</v>
      </c>
      <c r="F27" s="255">
        <f t="shared" si="3"/>
        <v>412.089824680562</v>
      </c>
      <c r="G27" s="253">
        <v>16200</v>
      </c>
      <c r="H27" s="255">
        <f>IFERROR((G27-D27)/D27*100,0)</f>
        <v>-86.5708388251971</v>
      </c>
      <c r="I27" s="277"/>
      <c r="K27" s="275"/>
      <c r="L27" s="234">
        <v>16200</v>
      </c>
      <c r="M27" s="234">
        <f>G27-L27</f>
        <v>0</v>
      </c>
    </row>
    <row r="28" s="234" customFormat="1" ht="18.75" customHeight="1" spans="1:13">
      <c r="A28" s="260" t="s">
        <v>271</v>
      </c>
      <c r="B28" s="267">
        <v>20546</v>
      </c>
      <c r="C28" s="253">
        <v>61980.3</v>
      </c>
      <c r="D28" s="253">
        <v>61980.3</v>
      </c>
      <c r="E28" s="255">
        <f t="shared" si="4"/>
        <v>100</v>
      </c>
      <c r="F28" s="255">
        <f t="shared" si="3"/>
        <v>201.666017716344</v>
      </c>
      <c r="G28" s="253">
        <f>D37</f>
        <v>94302</v>
      </c>
      <c r="H28" s="255">
        <f>IFERROR((G28-D28)/D28*100,0)</f>
        <v>52.1483439092744</v>
      </c>
      <c r="I28" s="277"/>
      <c r="K28" s="275"/>
      <c r="L28" s="234">
        <v>91772</v>
      </c>
      <c r="M28" s="234">
        <f>G28-L28</f>
        <v>2530</v>
      </c>
    </row>
    <row r="29" s="234" customFormat="1" ht="18.75" customHeight="1" spans="1:13">
      <c r="A29" s="260" t="s">
        <v>272</v>
      </c>
      <c r="B29" s="267">
        <v>6000</v>
      </c>
      <c r="C29" s="253"/>
      <c r="D29" s="253"/>
      <c r="E29" s="255"/>
      <c r="F29" s="255">
        <f t="shared" si="3"/>
        <v>-100</v>
      </c>
      <c r="G29" s="253">
        <f>27235+4000-31000</f>
        <v>235</v>
      </c>
      <c r="H29" s="255">
        <f>IFERROR((G29-D29)/D29*100,0)</f>
        <v>0</v>
      </c>
      <c r="I29" s="277"/>
      <c r="K29" s="275"/>
      <c r="L29" s="234">
        <v>27235</v>
      </c>
      <c r="M29" s="234">
        <f t="shared" ref="M29:M39" si="5">G29-L29</f>
        <v>-27000</v>
      </c>
    </row>
    <row r="30" s="234" customFormat="1" ht="21.75" customHeight="1" spans="1:13">
      <c r="A30" s="260" t="s">
        <v>273</v>
      </c>
      <c r="B30" s="267">
        <v>5647</v>
      </c>
      <c r="C30" s="268">
        <v>2761</v>
      </c>
      <c r="D30" s="268">
        <f>C30</f>
        <v>2761</v>
      </c>
      <c r="E30" s="255">
        <f t="shared" si="4"/>
        <v>100</v>
      </c>
      <c r="F30" s="255">
        <f t="shared" si="3"/>
        <v>-51.1067823623163</v>
      </c>
      <c r="G30" s="253">
        <f>D36</f>
        <v>3877.29999999999</v>
      </c>
      <c r="H30" s="255">
        <f>IFERROR((G30-D30)/D30*100,0)</f>
        <v>40.4310032596881</v>
      </c>
      <c r="I30" s="277"/>
      <c r="K30" s="275"/>
      <c r="L30" s="234">
        <v>3877.29999999999</v>
      </c>
      <c r="M30" s="234">
        <f t="shared" si="5"/>
        <v>0</v>
      </c>
    </row>
    <row r="31" ht="24.9" customHeight="1" spans="1:13">
      <c r="A31" s="116" t="s">
        <v>274</v>
      </c>
      <c r="B31" s="253">
        <f t="shared" ref="B31:D31" si="6">B5+B8+B24+B27+B28+B29+B30</f>
        <v>349009</v>
      </c>
      <c r="C31" s="253">
        <f t="shared" si="6"/>
        <v>499768.93</v>
      </c>
      <c r="D31" s="253">
        <f t="shared" si="6"/>
        <v>511072.3</v>
      </c>
      <c r="E31" s="255">
        <f t="shared" si="4"/>
        <v>102.261719230925</v>
      </c>
      <c r="F31" s="255">
        <f t="shared" si="3"/>
        <v>46.4352781733422</v>
      </c>
      <c r="G31" s="253">
        <f>G5+G8+G24+G27+G28+G29+G30</f>
        <v>375147.112227</v>
      </c>
      <c r="H31" s="255">
        <f>IFERROR((G31-D31)/D31*100,0)</f>
        <v>-26.5960780447307</v>
      </c>
      <c r="I31" s="278"/>
      <c r="L31" s="236">
        <v>381825.992227</v>
      </c>
      <c r="M31" s="234">
        <f t="shared" si="5"/>
        <v>-6678.88</v>
      </c>
    </row>
    <row r="32" ht="18.75" customHeight="1" spans="1:13">
      <c r="A32" s="269" t="s">
        <v>275</v>
      </c>
      <c r="B32" s="265">
        <f>B31-B28</f>
        <v>328463</v>
      </c>
      <c r="C32" s="265">
        <f>C31-C28</f>
        <v>437788.63</v>
      </c>
      <c r="D32" s="265">
        <f>D31-D28</f>
        <v>449092</v>
      </c>
      <c r="E32" s="258">
        <f t="shared" si="4"/>
        <v>102.581924066872</v>
      </c>
      <c r="F32" s="258">
        <f t="shared" si="3"/>
        <v>36.7252932598192</v>
      </c>
      <c r="G32" s="265">
        <f>G31-G28</f>
        <v>280845.112227</v>
      </c>
      <c r="H32" s="258">
        <f>IFERROR((G32-D32)/D32*100,0)</f>
        <v>-37.4637908876132</v>
      </c>
      <c r="I32" s="201"/>
      <c r="L32" s="236">
        <v>290053.992227</v>
      </c>
      <c r="M32" s="234">
        <f t="shared" si="5"/>
        <v>-9208.88</v>
      </c>
    </row>
    <row r="33" ht="18.75" customHeight="1" spans="1:13">
      <c r="A33" s="270" t="s">
        <v>276</v>
      </c>
      <c r="B33" s="265">
        <v>234186</v>
      </c>
      <c r="C33" s="265">
        <v>361713.046071</v>
      </c>
      <c r="D33" s="265">
        <f>表二一般公共预算支出执行表!E5</f>
        <v>275051</v>
      </c>
      <c r="E33" s="258">
        <f t="shared" si="4"/>
        <v>76.0412163696221</v>
      </c>
      <c r="F33" s="258">
        <f t="shared" si="3"/>
        <v>17.4498048559692</v>
      </c>
      <c r="G33" s="265">
        <f>G31-G34-G35-G36</f>
        <v>353147.112227</v>
      </c>
      <c r="H33" s="258">
        <f>IFERROR((G33-C33)/C33*100,0)</f>
        <v>-2.36815728297469</v>
      </c>
      <c r="I33" s="201"/>
      <c r="L33" s="236">
        <v>363825.992227</v>
      </c>
      <c r="M33" s="234">
        <f t="shared" si="5"/>
        <v>-10678.88</v>
      </c>
    </row>
    <row r="34" ht="20.1" customHeight="1" spans="1:13">
      <c r="A34" s="270" t="s">
        <v>277</v>
      </c>
      <c r="B34" s="265">
        <v>31182</v>
      </c>
      <c r="C34" s="265">
        <v>27917</v>
      </c>
      <c r="D34" s="257">
        <f>27703</f>
        <v>27703</v>
      </c>
      <c r="E34" s="258">
        <f t="shared" si="4"/>
        <v>99.2334419887524</v>
      </c>
      <c r="F34" s="258">
        <f t="shared" si="3"/>
        <v>-11.1570778012956</v>
      </c>
      <c r="G34" s="265">
        <v>4000</v>
      </c>
      <c r="H34" s="258">
        <f>IFERROR((G34-C34)/C34*100,0)</f>
        <v>-85.6718128738761</v>
      </c>
      <c r="I34" s="201"/>
      <c r="M34" s="234">
        <f t="shared" si="5"/>
        <v>4000</v>
      </c>
    </row>
    <row r="35" ht="21" customHeight="1" spans="1:13">
      <c r="A35" s="270" t="s">
        <v>278</v>
      </c>
      <c r="B35" s="265">
        <v>18900</v>
      </c>
      <c r="C35" s="265">
        <v>110139</v>
      </c>
      <c r="D35" s="257">
        <v>110139</v>
      </c>
      <c r="E35" s="258">
        <f t="shared" si="4"/>
        <v>100</v>
      </c>
      <c r="F35" s="258">
        <f t="shared" si="3"/>
        <v>482.746031746032</v>
      </c>
      <c r="G35" s="265">
        <v>18000</v>
      </c>
      <c r="H35" s="258">
        <f>IFERROR((G35-C35)/C35*100,0)</f>
        <v>-83.6570152262141</v>
      </c>
      <c r="I35" s="278"/>
      <c r="L35" s="236">
        <v>18000</v>
      </c>
      <c r="M35" s="234">
        <f t="shared" si="5"/>
        <v>0</v>
      </c>
    </row>
    <row r="36" ht="20.1" customHeight="1" spans="1:13">
      <c r="A36" s="270" t="s">
        <v>279</v>
      </c>
      <c r="B36" s="265">
        <v>2761</v>
      </c>
      <c r="C36" s="265"/>
      <c r="D36" s="257">
        <f>D31-D33-D34-D35-D37</f>
        <v>3877.29999999999</v>
      </c>
      <c r="E36" s="258"/>
      <c r="F36" s="258">
        <f t="shared" si="3"/>
        <v>40.4310032596881</v>
      </c>
      <c r="G36" s="265"/>
      <c r="H36" s="258">
        <f t="shared" ref="H33:H39" si="7">IFERROR((G36-C36)/C36*100,0)</f>
        <v>0</v>
      </c>
      <c r="I36" s="201"/>
      <c r="K36" s="238" t="s">
        <v>280</v>
      </c>
      <c r="M36" s="234">
        <f t="shared" si="5"/>
        <v>0</v>
      </c>
    </row>
    <row r="37" ht="20.1" customHeight="1" spans="1:13">
      <c r="A37" s="270" t="s">
        <v>281</v>
      </c>
      <c r="B37" s="271">
        <f>B31-B33-B34-B35-B36</f>
        <v>61980</v>
      </c>
      <c r="C37" s="271"/>
      <c r="D37" s="271">
        <f>91772-940+3470</f>
        <v>94302</v>
      </c>
      <c r="E37" s="258"/>
      <c r="F37" s="258">
        <f t="shared" si="3"/>
        <v>52.1490803484995</v>
      </c>
      <c r="G37" s="271"/>
      <c r="H37" s="258">
        <f t="shared" si="7"/>
        <v>0</v>
      </c>
      <c r="I37" s="201"/>
      <c r="M37" s="234">
        <f t="shared" si="5"/>
        <v>0</v>
      </c>
    </row>
    <row r="38" s="234" customFormat="1" ht="20.1" customHeight="1" spans="1:13">
      <c r="A38" s="116" t="s">
        <v>282</v>
      </c>
      <c r="B38" s="253">
        <f>B37+B36+B35+B34+B33</f>
        <v>349009</v>
      </c>
      <c r="C38" s="253">
        <f>C37+C36+C35+C34+C33</f>
        <v>499769.046071</v>
      </c>
      <c r="D38" s="253">
        <f>D37+D36+D35+D34+D33</f>
        <v>511072.3</v>
      </c>
      <c r="E38" s="255">
        <f>D38/C38*100</f>
        <v>102.261695480715</v>
      </c>
      <c r="F38" s="255">
        <f t="shared" si="3"/>
        <v>46.4352781733422</v>
      </c>
      <c r="G38" s="253">
        <f>G33+G34+G35+G37+G36</f>
        <v>375147.112227</v>
      </c>
      <c r="H38" s="255">
        <f t="shared" si="7"/>
        <v>-24.9359048592008</v>
      </c>
      <c r="I38" s="277"/>
      <c r="K38" s="275"/>
      <c r="L38" s="234">
        <v>381825.992227</v>
      </c>
      <c r="M38" s="234">
        <f t="shared" si="5"/>
        <v>-6678.88</v>
      </c>
    </row>
    <row r="39" s="235" customFormat="1" ht="20.1" customHeight="1" spans="1:13">
      <c r="A39" s="272" t="s">
        <v>283</v>
      </c>
      <c r="B39" s="265">
        <f>B38-B37</f>
        <v>287029</v>
      </c>
      <c r="C39" s="265">
        <f>C38-C37</f>
        <v>499769.046071</v>
      </c>
      <c r="D39" s="265">
        <f>D38-D37</f>
        <v>416770.3</v>
      </c>
      <c r="E39" s="258">
        <f>D39/C39*100</f>
        <v>83.3925796878567</v>
      </c>
      <c r="F39" s="258">
        <f t="shared" si="3"/>
        <v>45.2014604796031</v>
      </c>
      <c r="G39" s="265">
        <f>G38-G37</f>
        <v>375147.112227</v>
      </c>
      <c r="H39" s="258">
        <f t="shared" si="7"/>
        <v>-24.9359048592008</v>
      </c>
      <c r="I39" s="201"/>
      <c r="K39" s="276"/>
      <c r="L39" s="235">
        <v>381825.992227</v>
      </c>
      <c r="M39" s="234">
        <f t="shared" si="5"/>
        <v>-6678.88</v>
      </c>
    </row>
  </sheetData>
  <autoFilter ref="A4:I40">
    <extLst/>
  </autoFilter>
  <mergeCells count="7">
    <mergeCell ref="A1:I1"/>
    <mergeCell ref="H2:I2"/>
    <mergeCell ref="C3:F3"/>
    <mergeCell ref="G3:H3"/>
    <mergeCell ref="A3:A4"/>
    <mergeCell ref="B3:B4"/>
    <mergeCell ref="I3:I4"/>
  </mergeCells>
  <printOptions horizontalCentered="1"/>
  <pageMargins left="0.31875" right="0.529166666666667" top="0.529166666666667" bottom="0.61875" header="0.509027777777778" footer="0.36875"/>
  <pageSetup paperSize="9" orientation="landscape"/>
  <headerFooter alignWithMargins="0">
    <oddFooter>&amp;C&amp;10第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AH181"/>
  <sheetViews>
    <sheetView showZeros="0" workbookViewId="0">
      <pane xSplit="2" ySplit="6" topLeftCell="C108" activePane="bottomRight" state="frozen"/>
      <selection/>
      <selection pane="topRight"/>
      <selection pane="bottomLeft"/>
      <selection pane="bottomRight" activeCell="K42" sqref="K42"/>
    </sheetView>
  </sheetViews>
  <sheetFormatPr defaultColWidth="9" defaultRowHeight="15.75"/>
  <cols>
    <col min="1" max="1" width="5.375" style="169" customWidth="1"/>
    <col min="2" max="2" width="17.125" style="170" customWidth="1"/>
    <col min="3" max="3" width="7" style="171" customWidth="1"/>
    <col min="4" max="4" width="7.6" style="171" hidden="1" customWidth="1"/>
    <col min="5" max="5" width="7.6" style="171" customWidth="1"/>
    <col min="6" max="6" width="7" style="171" customWidth="1"/>
    <col min="7" max="7" width="8.125" style="171" customWidth="1"/>
    <col min="8" max="8" width="8.1" style="172" customWidth="1"/>
    <col min="9" max="9" width="7.6" style="173" customWidth="1"/>
    <col min="10" max="10" width="7.6" style="173" hidden="1" customWidth="1"/>
    <col min="11" max="11" width="7.25" style="172" customWidth="1"/>
    <col min="12" max="12" width="7.625" style="172" customWidth="1"/>
    <col min="13" max="13" width="8.1" style="172" customWidth="1"/>
    <col min="14" max="14" width="7.75" style="172" customWidth="1"/>
    <col min="15" max="15" width="6.25" style="174" customWidth="1"/>
    <col min="16" max="16" width="33.25" style="169" customWidth="1"/>
    <col min="17" max="17" width="10" style="175" hidden="1" customWidth="1"/>
    <col min="18" max="18" width="9" style="175" hidden="1" customWidth="1"/>
    <col min="19" max="19" width="11" style="175" hidden="1" customWidth="1"/>
    <col min="20" max="20" width="9" style="175" hidden="1" customWidth="1"/>
    <col min="21" max="21" width="9.4" style="175" hidden="1" customWidth="1"/>
    <col min="22" max="22" width="11.5" style="175" hidden="1" customWidth="1"/>
    <col min="23" max="23" width="3.61666666666667" style="175" hidden="1" customWidth="1"/>
    <col min="24" max="24" width="4.81666666666667" style="175" hidden="1" customWidth="1"/>
    <col min="25" max="26" width="4.6" style="175" hidden="1" customWidth="1"/>
    <col min="27" max="27" width="4.99166666666667" style="168" hidden="1" customWidth="1"/>
    <col min="28" max="28" width="9" style="175" hidden="1" customWidth="1"/>
    <col min="29" max="29" width="12.625" style="175" hidden="1" customWidth="1"/>
    <col min="30" max="30" width="16.375" style="175" hidden="1" customWidth="1"/>
    <col min="31" max="31" width="10.375" style="175" hidden="1" customWidth="1"/>
    <col min="32" max="32" width="9" style="175" hidden="1" customWidth="1"/>
    <col min="33" max="16384" width="9" style="175"/>
  </cols>
  <sheetData>
    <row r="1" ht="24.9" customHeight="1" spans="1:17">
      <c r="A1" s="133" t="s">
        <v>284</v>
      </c>
      <c r="B1" s="176"/>
      <c r="C1" s="177"/>
      <c r="D1" s="177"/>
      <c r="E1" s="177"/>
      <c r="F1" s="177"/>
      <c r="G1" s="177"/>
      <c r="H1" s="177"/>
      <c r="I1" s="177"/>
      <c r="J1" s="177"/>
      <c r="K1" s="177"/>
      <c r="L1" s="177"/>
      <c r="M1" s="177"/>
      <c r="N1" s="177"/>
      <c r="O1" s="176"/>
      <c r="P1" s="195"/>
      <c r="Q1" s="167"/>
    </row>
    <row r="2" ht="18.9" customHeight="1" spans="1:17">
      <c r="A2" s="178"/>
      <c r="B2" s="178"/>
      <c r="C2" s="179"/>
      <c r="D2" s="179"/>
      <c r="E2" s="180"/>
      <c r="F2" s="180"/>
      <c r="G2" s="180"/>
      <c r="H2" s="180"/>
      <c r="I2" s="180"/>
      <c r="J2" s="180"/>
      <c r="K2" s="180"/>
      <c r="L2" s="180"/>
      <c r="M2" s="180"/>
      <c r="N2" s="180"/>
      <c r="O2" s="196"/>
      <c r="P2" s="197" t="s">
        <v>12</v>
      </c>
      <c r="Q2" s="167"/>
    </row>
    <row r="3" ht="17.25" customHeight="1" spans="1:17">
      <c r="A3" s="181" t="s">
        <v>55</v>
      </c>
      <c r="B3" s="182" t="s">
        <v>56</v>
      </c>
      <c r="C3" s="183" t="s">
        <v>285</v>
      </c>
      <c r="D3" s="183"/>
      <c r="E3" s="183"/>
      <c r="F3" s="183"/>
      <c r="G3" s="183"/>
      <c r="H3" s="183"/>
      <c r="I3" s="183" t="s">
        <v>286</v>
      </c>
      <c r="J3" s="183"/>
      <c r="K3" s="183"/>
      <c r="L3" s="183"/>
      <c r="M3" s="183"/>
      <c r="N3" s="183"/>
      <c r="O3" s="181" t="s">
        <v>287</v>
      </c>
      <c r="P3" s="182" t="s">
        <v>288</v>
      </c>
      <c r="Q3" s="167"/>
    </row>
    <row r="4" ht="17.25" customHeight="1" spans="1:19">
      <c r="A4" s="181"/>
      <c r="B4" s="182"/>
      <c r="C4" s="184" t="s">
        <v>289</v>
      </c>
      <c r="D4" s="184" t="s">
        <v>290</v>
      </c>
      <c r="E4" s="185" t="s">
        <v>290</v>
      </c>
      <c r="F4" s="185"/>
      <c r="G4" s="185" t="s">
        <v>291</v>
      </c>
      <c r="H4" s="185"/>
      <c r="I4" s="184" t="s">
        <v>289</v>
      </c>
      <c r="J4" s="184" t="s">
        <v>290</v>
      </c>
      <c r="K4" s="185" t="s">
        <v>290</v>
      </c>
      <c r="L4" s="185"/>
      <c r="M4" s="185" t="s">
        <v>291</v>
      </c>
      <c r="N4" s="185"/>
      <c r="O4" s="181"/>
      <c r="P4" s="186"/>
      <c r="Q4" s="167"/>
      <c r="S4" s="206"/>
    </row>
    <row r="5" ht="28.5" customHeight="1" spans="1:26">
      <c r="A5" s="186"/>
      <c r="B5" s="186"/>
      <c r="C5" s="184"/>
      <c r="D5" s="184"/>
      <c r="E5" s="184" t="s">
        <v>292</v>
      </c>
      <c r="F5" s="184" t="s">
        <v>293</v>
      </c>
      <c r="G5" s="184" t="s">
        <v>294</v>
      </c>
      <c r="H5" s="184" t="s">
        <v>295</v>
      </c>
      <c r="I5" s="184"/>
      <c r="J5" s="184"/>
      <c r="K5" s="184" t="s">
        <v>292</v>
      </c>
      <c r="L5" s="184" t="s">
        <v>293</v>
      </c>
      <c r="M5" s="184" t="s">
        <v>294</v>
      </c>
      <c r="N5" s="184" t="s">
        <v>295</v>
      </c>
      <c r="O5" s="186"/>
      <c r="P5" s="186"/>
      <c r="Q5" s="167"/>
      <c r="X5" s="207" t="s">
        <v>296</v>
      </c>
      <c r="Y5" s="175">
        <f>表三一般公共预算收支总表!G33</f>
        <v>353147.112227</v>
      </c>
      <c r="Z5" s="175">
        <f>I6-Y5</f>
        <v>-0.345200000039767</v>
      </c>
    </row>
    <row r="6" ht="27" customHeight="1" spans="1:24">
      <c r="A6" s="187"/>
      <c r="B6" s="188" t="s">
        <v>62</v>
      </c>
      <c r="C6" s="32">
        <f t="shared" ref="C6:C69" si="0">E6+F6+G6+H6</f>
        <v>353250.11</v>
      </c>
      <c r="D6" s="32">
        <f t="shared" ref="D6:D69" si="1">E6+F6</f>
        <v>219893.02</v>
      </c>
      <c r="E6" s="32">
        <f>E7+E31+E33+E40+E47+E52+E59+E77+E90+E100+E107+E116+E120+E124+E129+E132+E135+E147+E148+E139</f>
        <v>185637.82</v>
      </c>
      <c r="F6" s="32">
        <f>F7+F31+F33+F40+F47+F52+F59+F77+F90+F100+F107+F116+F120+F124+F127+F129+F132+F135+F139+F147+F148+F151</f>
        <v>34255.2</v>
      </c>
      <c r="G6" s="32">
        <f>G7+G31+G33+G40+G47+G52+G59+G77+G90+G100+G107+G116+G120+G124++G127+G129+G132+G135+G147+G148+G139</f>
        <v>61960.33</v>
      </c>
      <c r="H6" s="32">
        <f>H7+H31+H33+H40+H47+H52+H59+H77+H90+H100+H107+H116+H120+H124+H129+H132+H135+H147+H148+H139</f>
        <v>71396.76</v>
      </c>
      <c r="I6" s="32">
        <f t="shared" ref="I6:I69" si="2">K6+L6+M6+N6</f>
        <v>353146.767027</v>
      </c>
      <c r="J6" s="32">
        <f t="shared" ref="J6:J69" si="3">K6+L6</f>
        <v>195879.8048</v>
      </c>
      <c r="K6" s="32">
        <f>K7+K31+K33+K40+K47+K52+K59+K77+K90+K100+K107+K116+K120+K124+K129+K132+K135+K147+K148+K139</f>
        <v>162169.44</v>
      </c>
      <c r="L6" s="32">
        <f>L7+L31+L33+L40+L47+L52+L59+L77+L90+L100+L107+L116+L120+L124+L127+L129+L132+L135+L139+L147+L148+L151</f>
        <v>33710.3648</v>
      </c>
      <c r="M6" s="32">
        <f>M7+M31+M33+M40+M47+M52+M59+M77+M90+M100+M107+M116+M120+M124++M127+M129+M132+M135+M147+M148+M139</f>
        <v>94301.15</v>
      </c>
      <c r="N6" s="32">
        <f>N7+N31+N33+N40+N47+N52+N59+N77+N90+N100+N107+N116+N120+N124+N129+N132+N135+N147+N148+N139</f>
        <v>62965.812227</v>
      </c>
      <c r="O6" s="198">
        <f t="shared" ref="O6:O69" si="4">IFERROR((I6-C6)/C6*100,0)</f>
        <v>-0.029254901859784</v>
      </c>
      <c r="P6" s="199"/>
      <c r="Q6" s="167"/>
      <c r="S6" s="208" t="s">
        <v>297</v>
      </c>
      <c r="T6" s="208" t="s">
        <v>298</v>
      </c>
      <c r="V6" s="92">
        <v>363826.005628</v>
      </c>
      <c r="W6" s="175">
        <v>1800</v>
      </c>
      <c r="X6" s="175">
        <f>V6+W6</f>
        <v>365626.005628</v>
      </c>
    </row>
    <row r="7" s="166" customFormat="1" ht="28.95" customHeight="1" spans="1:27">
      <c r="A7" s="189" t="s">
        <v>63</v>
      </c>
      <c r="B7" s="188" t="s">
        <v>64</v>
      </c>
      <c r="C7" s="32">
        <f t="shared" si="0"/>
        <v>26147.51</v>
      </c>
      <c r="D7" s="32">
        <f t="shared" si="1"/>
        <v>25684.74</v>
      </c>
      <c r="E7" s="190">
        <f t="shared" ref="E7:H7" si="5">SUM(E8:E29)</f>
        <v>23214.97</v>
      </c>
      <c r="F7" s="190">
        <f t="shared" si="5"/>
        <v>2469.77</v>
      </c>
      <c r="G7" s="21">
        <f t="shared" si="5"/>
        <v>343.36</v>
      </c>
      <c r="H7" s="21">
        <f t="shared" si="5"/>
        <v>119.41</v>
      </c>
      <c r="I7" s="32">
        <f t="shared" si="2"/>
        <v>29320.651227</v>
      </c>
      <c r="J7" s="32">
        <f t="shared" si="3"/>
        <v>28766.78</v>
      </c>
      <c r="K7" s="190">
        <f>SUM(K8:K30)</f>
        <v>25051.3</v>
      </c>
      <c r="L7" s="190">
        <f t="shared" ref="K7:N7" si="6">SUM(L8:L30)</f>
        <v>3715.48</v>
      </c>
      <c r="M7" s="21">
        <f t="shared" si="6"/>
        <v>362.79</v>
      </c>
      <c r="N7" s="21">
        <f t="shared" si="6"/>
        <v>191.081227</v>
      </c>
      <c r="O7" s="198">
        <f t="shared" si="4"/>
        <v>12.135538821861</v>
      </c>
      <c r="P7" s="200"/>
      <c r="Q7" s="167"/>
      <c r="R7" s="175"/>
      <c r="S7" s="206"/>
      <c r="T7" s="209"/>
      <c r="U7" s="210"/>
      <c r="Y7" s="213"/>
      <c r="Z7" s="213"/>
      <c r="AA7" s="214"/>
    </row>
    <row r="8" ht="69.9" customHeight="1" spans="1:32">
      <c r="A8" s="191">
        <v>20101</v>
      </c>
      <c r="B8" s="192" t="s">
        <v>65</v>
      </c>
      <c r="C8" s="32">
        <f t="shared" si="0"/>
        <v>736.54</v>
      </c>
      <c r="D8" s="21">
        <f t="shared" si="1"/>
        <v>735.54</v>
      </c>
      <c r="E8" s="190">
        <v>579.44</v>
      </c>
      <c r="F8" s="190">
        <f>161.1-5</f>
        <v>156.1</v>
      </c>
      <c r="G8" s="190">
        <v>1</v>
      </c>
      <c r="H8" s="21"/>
      <c r="I8" s="32">
        <f t="shared" si="2"/>
        <v>811.27</v>
      </c>
      <c r="J8" s="21">
        <f t="shared" si="3"/>
        <v>808.8</v>
      </c>
      <c r="K8" s="190">
        <v>653</v>
      </c>
      <c r="L8" s="201">
        <v>155.8</v>
      </c>
      <c r="M8" s="190">
        <v>2.47</v>
      </c>
      <c r="N8" s="21"/>
      <c r="O8" s="202">
        <f t="shared" si="4"/>
        <v>10.1460884677003</v>
      </c>
      <c r="P8" s="203" t="s">
        <v>299</v>
      </c>
      <c r="Q8" s="211" t="e">
        <f>VLOOKUP(A8,[2]表四一般公共预算支出预算表!$A$8:$L$10000,12,0)</f>
        <v>#REF!</v>
      </c>
      <c r="S8" s="212">
        <v>156.1</v>
      </c>
      <c r="T8" s="212">
        <f t="shared" ref="T8:T29" si="7">L8-S8</f>
        <v>-0.299999999999983</v>
      </c>
      <c r="AC8" s="175">
        <f>VLOOKUP(A8,[4]Sheet3!$A$4:$C$66,3,0)</f>
        <v>653.001641</v>
      </c>
      <c r="AD8" s="175">
        <f t="shared" ref="AD8:AD13" si="8">AC8-K8</f>
        <v>0.0016409999999496</v>
      </c>
      <c r="AE8" s="175">
        <v>155.8</v>
      </c>
      <c r="AF8" s="175">
        <f>+L8-AE8</f>
        <v>0</v>
      </c>
    </row>
    <row r="9" ht="54" customHeight="1" spans="1:32">
      <c r="A9" s="191">
        <v>20102</v>
      </c>
      <c r="B9" s="192" t="s">
        <v>66</v>
      </c>
      <c r="C9" s="32">
        <f t="shared" si="0"/>
        <v>442.57</v>
      </c>
      <c r="D9" s="21">
        <f t="shared" si="1"/>
        <v>442.57</v>
      </c>
      <c r="E9" s="190">
        <v>380.57</v>
      </c>
      <c r="F9" s="190">
        <f>74-3-9</f>
        <v>62</v>
      </c>
      <c r="G9" s="190"/>
      <c r="H9" s="21"/>
      <c r="I9" s="32">
        <f t="shared" si="2"/>
        <v>490.88</v>
      </c>
      <c r="J9" s="21">
        <f t="shared" si="3"/>
        <v>490.88</v>
      </c>
      <c r="K9" s="190">
        <v>424.08</v>
      </c>
      <c r="L9" s="201">
        <v>66.8</v>
      </c>
      <c r="M9" s="190"/>
      <c r="N9" s="21"/>
      <c r="O9" s="202">
        <f t="shared" si="4"/>
        <v>10.9157873330773</v>
      </c>
      <c r="P9" s="204" t="s">
        <v>300</v>
      </c>
      <c r="Q9" s="211" t="e">
        <f>VLOOKUP(A9,[2]表四一般公共预算支出预算表!$A$8:$L$10000,12,0)</f>
        <v>#REF!</v>
      </c>
      <c r="S9" s="212">
        <v>62</v>
      </c>
      <c r="T9" s="212">
        <f t="shared" si="7"/>
        <v>4.8</v>
      </c>
      <c r="AC9" s="175">
        <f>VLOOKUP(A9,[4]Sheet3!$A$4:$C$66,3,0)</f>
        <v>424.083079</v>
      </c>
      <c r="AD9" s="175">
        <f t="shared" si="8"/>
        <v>0.00307900000001382</v>
      </c>
      <c r="AE9" s="175">
        <v>66.8</v>
      </c>
      <c r="AF9" s="175">
        <f t="shared" ref="AF9:AF30" si="9">+L9-AE9</f>
        <v>0</v>
      </c>
    </row>
    <row r="10" ht="206" customHeight="1" spans="1:32">
      <c r="A10" s="191">
        <v>20103</v>
      </c>
      <c r="B10" s="192" t="s">
        <v>67</v>
      </c>
      <c r="C10" s="32">
        <f t="shared" si="0"/>
        <v>13115.23</v>
      </c>
      <c r="D10" s="21">
        <f t="shared" si="1"/>
        <v>13115.23</v>
      </c>
      <c r="E10" s="190">
        <f>11960.75+832</f>
        <v>12792.75</v>
      </c>
      <c r="F10" s="190">
        <f>313.49-0.01+9</f>
        <v>322.48</v>
      </c>
      <c r="G10" s="190"/>
      <c r="H10" s="21"/>
      <c r="I10" s="32">
        <f t="shared" si="2"/>
        <v>10397.98</v>
      </c>
      <c r="J10" s="21">
        <f t="shared" si="3"/>
        <v>10397.98</v>
      </c>
      <c r="K10" s="190">
        <f>9505.83</f>
        <v>9505.83</v>
      </c>
      <c r="L10" s="201">
        <v>892.15</v>
      </c>
      <c r="M10" s="190"/>
      <c r="N10" s="21"/>
      <c r="O10" s="202">
        <f t="shared" si="4"/>
        <v>-20.718279435435</v>
      </c>
      <c r="P10" s="204" t="s">
        <v>301</v>
      </c>
      <c r="Q10" s="211" t="e">
        <f>VLOOKUP(A10,[2]表四一般公共预算支出预算表!$A$8:$L$10000,12,0)</f>
        <v>#REF!</v>
      </c>
      <c r="S10" s="212">
        <v>322.49</v>
      </c>
      <c r="T10" s="212">
        <f t="shared" si="7"/>
        <v>569.66</v>
      </c>
      <c r="AC10" s="175">
        <f>VLOOKUP(A10,[4]Sheet3!$A$4:$C$66,3,0)</f>
        <v>9505.83313400001</v>
      </c>
      <c r="AD10" s="175">
        <f t="shared" si="8"/>
        <v>0.00313400000959518</v>
      </c>
      <c r="AE10" s="175">
        <v>884.96</v>
      </c>
      <c r="AF10" s="175">
        <f t="shared" si="9"/>
        <v>7.18999999999994</v>
      </c>
    </row>
    <row r="11" spans="1:32">
      <c r="A11" s="191">
        <v>20104</v>
      </c>
      <c r="B11" s="192" t="s">
        <v>68</v>
      </c>
      <c r="C11" s="32">
        <f t="shared" si="0"/>
        <v>853.06</v>
      </c>
      <c r="D11" s="21">
        <f t="shared" si="1"/>
        <v>603.06</v>
      </c>
      <c r="E11" s="190">
        <v>603.06</v>
      </c>
      <c r="F11" s="190"/>
      <c r="G11" s="190">
        <v>250</v>
      </c>
      <c r="H11" s="21"/>
      <c r="I11" s="32">
        <f t="shared" si="2"/>
        <v>667.91</v>
      </c>
      <c r="J11" s="21">
        <f t="shared" si="3"/>
        <v>567.91</v>
      </c>
      <c r="K11" s="190">
        <v>567.91</v>
      </c>
      <c r="L11" s="201"/>
      <c r="M11" s="190">
        <v>100</v>
      </c>
      <c r="N11" s="21"/>
      <c r="O11" s="202">
        <f t="shared" si="4"/>
        <v>-21.7042177572504</v>
      </c>
      <c r="P11" s="204"/>
      <c r="Q11" s="211" t="e">
        <f>VLOOKUP(A11,[2]表四一般公共预算支出预算表!$A$8:$L$10000,12,0)</f>
        <v>#REF!</v>
      </c>
      <c r="T11" s="175">
        <f t="shared" si="7"/>
        <v>0</v>
      </c>
      <c r="AC11" s="175">
        <f>VLOOKUP(A11,[4]Sheet3!$A$4:$C$66,3,0)</f>
        <v>567.9135</v>
      </c>
      <c r="AD11" s="175">
        <f t="shared" si="8"/>
        <v>0.00350000000003092</v>
      </c>
      <c r="AE11" s="175">
        <v>1.15</v>
      </c>
      <c r="AF11" s="175">
        <f t="shared" si="9"/>
        <v>-1.15</v>
      </c>
    </row>
    <row r="12" ht="24" spans="1:32">
      <c r="A12" s="191">
        <v>20105</v>
      </c>
      <c r="B12" s="192" t="s">
        <v>69</v>
      </c>
      <c r="C12" s="32">
        <f t="shared" si="0"/>
        <v>252.1</v>
      </c>
      <c r="D12" s="21">
        <f t="shared" si="1"/>
        <v>252.1</v>
      </c>
      <c r="E12" s="190">
        <v>252.1</v>
      </c>
      <c r="F12" s="190"/>
      <c r="G12" s="190"/>
      <c r="H12" s="21"/>
      <c r="I12" s="32">
        <f t="shared" si="2"/>
        <v>360.07</v>
      </c>
      <c r="J12" s="21">
        <f t="shared" si="3"/>
        <v>339.83</v>
      </c>
      <c r="K12" s="190">
        <v>311.51</v>
      </c>
      <c r="L12" s="201">
        <v>28.32</v>
      </c>
      <c r="M12" s="190">
        <v>20.24</v>
      </c>
      <c r="N12" s="21"/>
      <c r="O12" s="202">
        <f t="shared" si="4"/>
        <v>42.8282427608092</v>
      </c>
      <c r="P12" s="204" t="s">
        <v>302</v>
      </c>
      <c r="Q12" s="211" t="e">
        <f>VLOOKUP(A12,[2]表四一般公共预算支出预算表!$A$8:$L$10000,12,0)</f>
        <v>#REF!</v>
      </c>
      <c r="T12" s="175">
        <f t="shared" si="7"/>
        <v>28.32</v>
      </c>
      <c r="AC12" s="175">
        <f>VLOOKUP(A12,[4]Sheet3!$A$4:$C$66,3,0)</f>
        <v>311.505562</v>
      </c>
      <c r="AD12" s="175">
        <f t="shared" si="8"/>
        <v>-0.00443799999999328</v>
      </c>
      <c r="AE12" s="175">
        <v>28.32</v>
      </c>
      <c r="AF12" s="175">
        <f t="shared" si="9"/>
        <v>0</v>
      </c>
    </row>
    <row r="13" ht="68" customHeight="1" spans="1:32">
      <c r="A13" s="191">
        <v>20106</v>
      </c>
      <c r="B13" s="192" t="s">
        <v>70</v>
      </c>
      <c r="C13" s="32">
        <f t="shared" si="0"/>
        <v>1246.84</v>
      </c>
      <c r="D13" s="21">
        <f t="shared" si="1"/>
        <v>1246.84</v>
      </c>
      <c r="E13" s="190">
        <v>1083.94</v>
      </c>
      <c r="F13" s="190">
        <v>162.9</v>
      </c>
      <c r="G13" s="190"/>
      <c r="H13" s="21"/>
      <c r="I13" s="32">
        <f t="shared" si="2"/>
        <v>1179.26</v>
      </c>
      <c r="J13" s="21">
        <f t="shared" si="3"/>
        <v>1179.26</v>
      </c>
      <c r="K13" s="190">
        <v>1017.49</v>
      </c>
      <c r="L13" s="201">
        <v>161.77</v>
      </c>
      <c r="M13" s="190"/>
      <c r="N13" s="21"/>
      <c r="O13" s="202">
        <f t="shared" si="4"/>
        <v>-5.42010201790127</v>
      </c>
      <c r="P13" s="204" t="s">
        <v>303</v>
      </c>
      <c r="Q13" s="211" t="e">
        <f>VLOOKUP(A13,[2]表四一般公共预算支出预算表!$A$8:$L$10000,12,0)</f>
        <v>#REF!</v>
      </c>
      <c r="S13" s="212">
        <v>162.9</v>
      </c>
      <c r="T13" s="212">
        <f t="shared" si="7"/>
        <v>-1.13</v>
      </c>
      <c r="AC13" s="175">
        <f>VLOOKUP(A13,[4]Sheet3!$A$4:$C$66,3,0)</f>
        <v>1017.491063</v>
      </c>
      <c r="AD13" s="175">
        <f t="shared" si="8"/>
        <v>0.00106300000004467</v>
      </c>
      <c r="AE13" s="175">
        <v>167.81</v>
      </c>
      <c r="AF13" s="175">
        <f t="shared" si="9"/>
        <v>-6.03999999999999</v>
      </c>
    </row>
    <row r="14" ht="24" spans="1:32">
      <c r="A14" s="191">
        <v>20107</v>
      </c>
      <c r="B14" s="192" t="s">
        <v>71</v>
      </c>
      <c r="C14" s="32">
        <f t="shared" si="0"/>
        <v>927.45</v>
      </c>
      <c r="D14" s="21">
        <f t="shared" si="1"/>
        <v>927.45</v>
      </c>
      <c r="E14" s="190"/>
      <c r="F14" s="190">
        <v>927.45</v>
      </c>
      <c r="G14" s="190"/>
      <c r="H14" s="21"/>
      <c r="I14" s="32">
        <f t="shared" si="2"/>
        <v>1126</v>
      </c>
      <c r="J14" s="21">
        <f t="shared" si="3"/>
        <v>1126</v>
      </c>
      <c r="K14" s="190"/>
      <c r="L14" s="201">
        <f>947+179</f>
        <v>1126</v>
      </c>
      <c r="M14" s="190"/>
      <c r="N14" s="21"/>
      <c r="O14" s="202">
        <f t="shared" si="4"/>
        <v>21.4081621650763</v>
      </c>
      <c r="P14" s="204" t="s">
        <v>304</v>
      </c>
      <c r="Q14" s="211" t="e">
        <f>VLOOKUP(A14,[2]表四一般公共预算支出预算表!$A$8:$L$10000,12,0)</f>
        <v>#REF!</v>
      </c>
      <c r="S14" s="212"/>
      <c r="T14" s="212">
        <f t="shared" si="7"/>
        <v>1126</v>
      </c>
      <c r="AD14" s="175">
        <f t="shared" ref="AD14:AD45" si="10">AC14-K14</f>
        <v>0</v>
      </c>
      <c r="AE14" s="175" t="e">
        <v>#N/A</v>
      </c>
      <c r="AF14" s="175" t="e">
        <f t="shared" si="9"/>
        <v>#N/A</v>
      </c>
    </row>
    <row r="15" spans="1:32">
      <c r="A15" s="191">
        <v>20108</v>
      </c>
      <c r="B15" s="192" t="s">
        <v>72</v>
      </c>
      <c r="C15" s="32">
        <f t="shared" si="0"/>
        <v>283.38</v>
      </c>
      <c r="D15" s="21">
        <f t="shared" si="1"/>
        <v>283.38</v>
      </c>
      <c r="E15" s="190">
        <v>283.38</v>
      </c>
      <c r="F15" s="190"/>
      <c r="G15" s="190"/>
      <c r="H15" s="21"/>
      <c r="I15" s="32">
        <f t="shared" si="2"/>
        <v>240.17</v>
      </c>
      <c r="J15" s="21">
        <f t="shared" si="3"/>
        <v>238.17</v>
      </c>
      <c r="K15" s="190">
        <v>238.17</v>
      </c>
      <c r="L15" s="201"/>
      <c r="M15" s="190"/>
      <c r="N15" s="21">
        <v>2</v>
      </c>
      <c r="O15" s="202">
        <f t="shared" si="4"/>
        <v>-15.2480767873527</v>
      </c>
      <c r="P15" s="204"/>
      <c r="Q15" s="211" t="e">
        <f>VLOOKUP(A15,[2]表四一般公共预算支出预算表!$A$8:$L$10000,12,0)</f>
        <v>#REF!</v>
      </c>
      <c r="T15" s="175">
        <f t="shared" si="7"/>
        <v>0</v>
      </c>
      <c r="AC15" s="175">
        <f>VLOOKUP(A15,[4]Sheet3!$A$4:$C$66,3,0)</f>
        <v>238.172727</v>
      </c>
      <c r="AD15" s="175">
        <f t="shared" si="10"/>
        <v>0.00272700000002146</v>
      </c>
      <c r="AF15" s="175">
        <f t="shared" si="9"/>
        <v>0</v>
      </c>
    </row>
    <row r="16" ht="24" spans="1:32">
      <c r="A16" s="191">
        <v>20111</v>
      </c>
      <c r="B16" s="192" t="s">
        <v>73</v>
      </c>
      <c r="C16" s="32">
        <f t="shared" si="0"/>
        <v>1167.69</v>
      </c>
      <c r="D16" s="21">
        <f t="shared" si="1"/>
        <v>1149.69</v>
      </c>
      <c r="E16" s="190">
        <v>1116.63</v>
      </c>
      <c r="F16" s="190">
        <f>17.46+15.6</f>
        <v>33.06</v>
      </c>
      <c r="G16" s="190">
        <v>18</v>
      </c>
      <c r="H16" s="21"/>
      <c r="I16" s="32">
        <f t="shared" si="2"/>
        <v>1280.21</v>
      </c>
      <c r="J16" s="21">
        <f t="shared" si="3"/>
        <v>1280.21</v>
      </c>
      <c r="K16" s="190">
        <v>1262.75</v>
      </c>
      <c r="L16" s="201">
        <v>17.46</v>
      </c>
      <c r="M16" s="190"/>
      <c r="N16" s="21"/>
      <c r="O16" s="202">
        <f t="shared" si="4"/>
        <v>9.63611917546609</v>
      </c>
      <c r="P16" s="204" t="s">
        <v>305</v>
      </c>
      <c r="Q16" s="211" t="e">
        <f>VLOOKUP(A16,[2]表四一般公共预算支出预算表!$A$8:$L$10000,12,0)</f>
        <v>#REF!</v>
      </c>
      <c r="S16" s="175">
        <v>33.06</v>
      </c>
      <c r="T16" s="175">
        <f t="shared" si="7"/>
        <v>-15.6</v>
      </c>
      <c r="AC16" s="175">
        <f>VLOOKUP(A16,[4]Sheet3!$A$4:$C$66,3,0)</f>
        <v>1262.749957</v>
      </c>
      <c r="AD16" s="175">
        <f t="shared" si="10"/>
        <v>-4.30000000051223e-5</v>
      </c>
      <c r="AE16" s="175">
        <v>17.46</v>
      </c>
      <c r="AF16" s="175">
        <f t="shared" si="9"/>
        <v>0</v>
      </c>
    </row>
    <row r="17" ht="46" customHeight="1" spans="1:32">
      <c r="A17" s="191">
        <v>20113</v>
      </c>
      <c r="B17" s="192" t="s">
        <v>74</v>
      </c>
      <c r="C17" s="32">
        <f t="shared" si="0"/>
        <v>836.98</v>
      </c>
      <c r="D17" s="21">
        <f t="shared" si="1"/>
        <v>836.98</v>
      </c>
      <c r="E17" s="190">
        <v>836.98</v>
      </c>
      <c r="F17" s="190"/>
      <c r="G17" s="190"/>
      <c r="H17" s="21"/>
      <c r="I17" s="32">
        <f t="shared" si="2"/>
        <v>1012.25</v>
      </c>
      <c r="J17" s="21">
        <f t="shared" si="3"/>
        <v>1012.25</v>
      </c>
      <c r="K17" s="190">
        <v>933.05</v>
      </c>
      <c r="L17" s="201">
        <v>79.2</v>
      </c>
      <c r="M17" s="190"/>
      <c r="N17" s="21"/>
      <c r="O17" s="202">
        <f t="shared" si="4"/>
        <v>20.9407632201486</v>
      </c>
      <c r="P17" s="204" t="s">
        <v>306</v>
      </c>
      <c r="Q17" s="211" t="e">
        <f>VLOOKUP(A17,[2]表四一般公共预算支出预算表!$A$8:$L$10000,12,0)</f>
        <v>#REF!</v>
      </c>
      <c r="T17" s="175">
        <f t="shared" si="7"/>
        <v>79.2</v>
      </c>
      <c r="AC17" s="175">
        <f>VLOOKUP(A17,[4]Sheet3!$A$4:$C$66,3,0)</f>
        <v>933.052255</v>
      </c>
      <c r="AD17" s="175">
        <f t="shared" si="10"/>
        <v>0.00225499999999101</v>
      </c>
      <c r="AE17" s="175">
        <v>79.2</v>
      </c>
      <c r="AF17" s="175">
        <f t="shared" si="9"/>
        <v>0</v>
      </c>
    </row>
    <row r="18" spans="1:32">
      <c r="A18" s="191">
        <v>20114</v>
      </c>
      <c r="B18" s="192" t="s">
        <v>75</v>
      </c>
      <c r="C18" s="32">
        <f t="shared" si="0"/>
        <v>0</v>
      </c>
      <c r="D18" s="21">
        <f t="shared" si="1"/>
        <v>0</v>
      </c>
      <c r="E18" s="190"/>
      <c r="F18" s="190"/>
      <c r="G18" s="190"/>
      <c r="H18" s="21"/>
      <c r="I18" s="32">
        <f t="shared" si="2"/>
        <v>0</v>
      </c>
      <c r="J18" s="21">
        <f t="shared" si="3"/>
        <v>0</v>
      </c>
      <c r="K18" s="190"/>
      <c r="L18" s="201"/>
      <c r="M18" s="190"/>
      <c r="N18" s="21"/>
      <c r="O18" s="202">
        <f t="shared" si="4"/>
        <v>0</v>
      </c>
      <c r="P18" s="204"/>
      <c r="Q18" s="211" t="e">
        <f>VLOOKUP(A18,[2]表四一般公共预算支出预算表!$A$8:$L$10000,12,0)</f>
        <v>#REF!</v>
      </c>
      <c r="T18" s="175">
        <f t="shared" si="7"/>
        <v>0</v>
      </c>
      <c r="AD18" s="175">
        <f t="shared" si="10"/>
        <v>0</v>
      </c>
      <c r="AF18" s="175">
        <f t="shared" si="9"/>
        <v>0</v>
      </c>
    </row>
    <row r="19" ht="36" customHeight="1" spans="1:32">
      <c r="A19" s="191">
        <v>20123</v>
      </c>
      <c r="B19" s="192" t="s">
        <v>76</v>
      </c>
      <c r="C19" s="32">
        <f t="shared" si="0"/>
        <v>0</v>
      </c>
      <c r="D19" s="21">
        <f t="shared" si="1"/>
        <v>0</v>
      </c>
      <c r="E19" s="190"/>
      <c r="F19" s="190"/>
      <c r="G19" s="190"/>
      <c r="H19" s="21"/>
      <c r="I19" s="32">
        <f t="shared" si="2"/>
        <v>10</v>
      </c>
      <c r="J19" s="21">
        <f t="shared" si="3"/>
        <v>10</v>
      </c>
      <c r="K19" s="190"/>
      <c r="L19" s="201">
        <v>10</v>
      </c>
      <c r="M19" s="190"/>
      <c r="N19" s="21"/>
      <c r="O19" s="202">
        <f t="shared" si="4"/>
        <v>0</v>
      </c>
      <c r="P19" s="204" t="s">
        <v>307</v>
      </c>
      <c r="Q19" s="211" t="e">
        <f>VLOOKUP(A19,[2]表四一般公共预算支出预算表!$A$8:$L$10000,12,0)</f>
        <v>#REF!</v>
      </c>
      <c r="S19" s="212">
        <v>0</v>
      </c>
      <c r="T19" s="212">
        <f t="shared" si="7"/>
        <v>10</v>
      </c>
      <c r="AD19" s="175">
        <f t="shared" si="10"/>
        <v>0</v>
      </c>
      <c r="AE19" s="175">
        <v>10</v>
      </c>
      <c r="AF19" s="175">
        <f t="shared" si="9"/>
        <v>0</v>
      </c>
    </row>
    <row r="20" spans="1:32">
      <c r="A20" s="191">
        <v>20125</v>
      </c>
      <c r="B20" s="192" t="s">
        <v>308</v>
      </c>
      <c r="C20" s="32">
        <f t="shared" si="0"/>
        <v>37.38</v>
      </c>
      <c r="D20" s="21">
        <f t="shared" si="1"/>
        <v>37.38</v>
      </c>
      <c r="E20" s="190">
        <v>37.38</v>
      </c>
      <c r="F20" s="190"/>
      <c r="G20" s="190"/>
      <c r="H20" s="21"/>
      <c r="I20" s="32">
        <f t="shared" si="2"/>
        <v>44.47</v>
      </c>
      <c r="J20" s="21">
        <f t="shared" si="3"/>
        <v>44.47</v>
      </c>
      <c r="K20" s="190">
        <v>44.47</v>
      </c>
      <c r="L20" s="201"/>
      <c r="M20" s="190"/>
      <c r="N20" s="21"/>
      <c r="O20" s="202">
        <f t="shared" si="4"/>
        <v>18.9673622257892</v>
      </c>
      <c r="P20" s="204"/>
      <c r="Q20" s="211" t="e">
        <f>VLOOKUP(A20,[2]表四一般公共预算支出预算表!$A$8:$L$10000,12,0)</f>
        <v>#REF!</v>
      </c>
      <c r="S20" s="212">
        <v>0</v>
      </c>
      <c r="T20" s="212">
        <f t="shared" si="7"/>
        <v>0</v>
      </c>
      <c r="AC20" s="175">
        <f>VLOOKUP(A20,[4]Sheet3!$A$4:$C$66,3,0)</f>
        <v>44.465275</v>
      </c>
      <c r="AD20" s="175">
        <f t="shared" si="10"/>
        <v>-0.00472500000000053</v>
      </c>
      <c r="AF20" s="175">
        <f t="shared" si="9"/>
        <v>0</v>
      </c>
    </row>
    <row r="21" spans="1:32">
      <c r="A21" s="191">
        <v>20126</v>
      </c>
      <c r="B21" s="192" t="s">
        <v>78</v>
      </c>
      <c r="C21" s="32">
        <f t="shared" si="0"/>
        <v>145.8</v>
      </c>
      <c r="D21" s="21">
        <f t="shared" si="1"/>
        <v>145.8</v>
      </c>
      <c r="E21" s="190">
        <v>145.8</v>
      </c>
      <c r="F21" s="190"/>
      <c r="G21" s="190"/>
      <c r="H21" s="21"/>
      <c r="I21" s="32">
        <f t="shared" si="2"/>
        <v>123.66</v>
      </c>
      <c r="J21" s="21">
        <f t="shared" si="3"/>
        <v>123.66</v>
      </c>
      <c r="K21" s="190">
        <v>123.66</v>
      </c>
      <c r="L21" s="201"/>
      <c r="M21" s="190"/>
      <c r="N21" s="21"/>
      <c r="O21" s="202">
        <f t="shared" si="4"/>
        <v>-15.1851851851852</v>
      </c>
      <c r="P21" s="204"/>
      <c r="Q21" s="211" t="e">
        <f>VLOOKUP(A21,[2]表四一般公共预算支出预算表!$A$8:$L$10000,12,0)</f>
        <v>#REF!</v>
      </c>
      <c r="T21" s="175">
        <f t="shared" si="7"/>
        <v>0</v>
      </c>
      <c r="AC21" s="175">
        <f>VLOOKUP(A21,[4]Sheet3!$A$4:$C$66,3,0)</f>
        <v>123.660329</v>
      </c>
      <c r="AD21" s="175">
        <f t="shared" si="10"/>
        <v>0.000329000000007795</v>
      </c>
      <c r="AF21" s="175">
        <f t="shared" si="9"/>
        <v>0</v>
      </c>
    </row>
    <row r="22" spans="1:32">
      <c r="A22" s="191">
        <v>20128</v>
      </c>
      <c r="B22" s="192" t="s">
        <v>79</v>
      </c>
      <c r="C22" s="32">
        <f t="shared" si="0"/>
        <v>48.77</v>
      </c>
      <c r="D22" s="21">
        <f t="shared" si="1"/>
        <v>48.77</v>
      </c>
      <c r="E22" s="190">
        <v>48.77</v>
      </c>
      <c r="F22" s="190"/>
      <c r="G22" s="190"/>
      <c r="H22" s="21"/>
      <c r="I22" s="32">
        <f t="shared" si="2"/>
        <v>53.65</v>
      </c>
      <c r="J22" s="21">
        <f t="shared" si="3"/>
        <v>53.65</v>
      </c>
      <c r="K22" s="190">
        <v>53.65</v>
      </c>
      <c r="L22" s="201"/>
      <c r="M22" s="190"/>
      <c r="N22" s="21"/>
      <c r="O22" s="202">
        <f t="shared" si="4"/>
        <v>10.0061513225343</v>
      </c>
      <c r="P22" s="204"/>
      <c r="Q22" s="211" t="e">
        <f>VLOOKUP(A22,[2]表四一般公共预算支出预算表!$A$8:$L$10000,12,0)</f>
        <v>#REF!</v>
      </c>
      <c r="T22" s="175">
        <f t="shared" si="7"/>
        <v>0</v>
      </c>
      <c r="AC22" s="175">
        <f>VLOOKUP(A22,[4]Sheet3!$A$4:$C$66,3,0)</f>
        <v>53.647419</v>
      </c>
      <c r="AD22" s="175">
        <f t="shared" si="10"/>
        <v>-0.00258099999999928</v>
      </c>
      <c r="AF22" s="175">
        <f t="shared" si="9"/>
        <v>0</v>
      </c>
    </row>
    <row r="23" ht="160" customHeight="1" spans="1:32">
      <c r="A23" s="191">
        <v>20129</v>
      </c>
      <c r="B23" s="192" t="s">
        <v>80</v>
      </c>
      <c r="C23" s="32">
        <f t="shared" si="0"/>
        <v>574.13</v>
      </c>
      <c r="D23" s="21">
        <f t="shared" si="1"/>
        <v>447.28</v>
      </c>
      <c r="E23" s="190">
        <v>362.34</v>
      </c>
      <c r="F23" s="190">
        <v>84.94</v>
      </c>
      <c r="G23" s="190">
        <v>7.44</v>
      </c>
      <c r="H23" s="21">
        <v>119.41</v>
      </c>
      <c r="I23" s="32">
        <f t="shared" si="2"/>
        <v>624.001227</v>
      </c>
      <c r="J23" s="21">
        <f t="shared" si="3"/>
        <v>497.16</v>
      </c>
      <c r="K23" s="190">
        <v>430.3</v>
      </c>
      <c r="L23" s="201">
        <v>66.86</v>
      </c>
      <c r="M23" s="190">
        <v>33.41</v>
      </c>
      <c r="N23" s="21">
        <v>93.431227</v>
      </c>
      <c r="O23" s="202">
        <f t="shared" si="4"/>
        <v>8.68639977008693</v>
      </c>
      <c r="P23" s="204" t="s">
        <v>309</v>
      </c>
      <c r="Q23" s="211" t="e">
        <f>VLOOKUP(A23,[2]表四一般公共预算支出预算表!$A$8:$L$10000,12,0)</f>
        <v>#REF!</v>
      </c>
      <c r="S23" s="212">
        <v>84.936</v>
      </c>
      <c r="T23" s="212">
        <f t="shared" si="7"/>
        <v>-18.076</v>
      </c>
      <c r="AC23" s="175">
        <f>VLOOKUP(A23,[4]Sheet3!$A$4:$C$66,3,0)</f>
        <v>430.301171</v>
      </c>
      <c r="AD23" s="175">
        <f t="shared" si="10"/>
        <v>0.00117099999999937</v>
      </c>
      <c r="AE23" s="175">
        <v>66.86</v>
      </c>
      <c r="AF23" s="175">
        <f t="shared" si="9"/>
        <v>0</v>
      </c>
    </row>
    <row r="24" ht="93" customHeight="1" spans="1:32">
      <c r="A24" s="191">
        <v>20131</v>
      </c>
      <c r="B24" s="192" t="s">
        <v>81</v>
      </c>
      <c r="C24" s="32">
        <f t="shared" si="0"/>
        <v>1045.26</v>
      </c>
      <c r="D24" s="21">
        <f t="shared" si="1"/>
        <v>1045.26</v>
      </c>
      <c r="E24" s="190">
        <v>1001.22</v>
      </c>
      <c r="F24" s="190">
        <v>44.04</v>
      </c>
      <c r="G24" s="190"/>
      <c r="H24" s="21"/>
      <c r="I24" s="32">
        <f t="shared" si="2"/>
        <v>1133.37</v>
      </c>
      <c r="J24" s="21">
        <f t="shared" si="3"/>
        <v>1133.37</v>
      </c>
      <c r="K24" s="190">
        <v>1101.43</v>
      </c>
      <c r="L24" s="205">
        <v>31.94</v>
      </c>
      <c r="M24" s="190"/>
      <c r="N24" s="21"/>
      <c r="O24" s="202">
        <f t="shared" si="4"/>
        <v>8.42948166006545</v>
      </c>
      <c r="P24" s="204" t="s">
        <v>310</v>
      </c>
      <c r="Q24" s="211" t="e">
        <f>VLOOKUP(A24,[2]表四一般公共预算支出预算表!$A$8:$L$10000,12,0)</f>
        <v>#REF!</v>
      </c>
      <c r="S24" s="175">
        <v>44.04</v>
      </c>
      <c r="T24" s="175">
        <f t="shared" si="7"/>
        <v>-12.1</v>
      </c>
      <c r="AC24" s="175">
        <f>VLOOKUP(A24,[4]Sheet3!$A$4:$C$66,3,0)</f>
        <v>1101.428324</v>
      </c>
      <c r="AD24" s="175">
        <f t="shared" si="10"/>
        <v>-0.00167600000008861</v>
      </c>
      <c r="AE24" s="175">
        <v>31.94</v>
      </c>
      <c r="AF24" s="175">
        <f t="shared" si="9"/>
        <v>0</v>
      </c>
    </row>
    <row r="25" ht="249" customHeight="1" spans="1:32">
      <c r="A25" s="191">
        <v>20132</v>
      </c>
      <c r="B25" s="192" t="s">
        <v>82</v>
      </c>
      <c r="C25" s="32">
        <f t="shared" si="0"/>
        <v>1090.06</v>
      </c>
      <c r="D25" s="21">
        <f t="shared" si="1"/>
        <v>1047.14</v>
      </c>
      <c r="E25" s="190">
        <v>676.94</v>
      </c>
      <c r="F25" s="190">
        <f>352.4-20.2+38</f>
        <v>370.2</v>
      </c>
      <c r="G25" s="190">
        <v>42.92</v>
      </c>
      <c r="H25" s="21"/>
      <c r="I25" s="32">
        <f t="shared" si="2"/>
        <v>6195.99</v>
      </c>
      <c r="J25" s="21">
        <f t="shared" si="3"/>
        <v>6027.43</v>
      </c>
      <c r="K25" s="190">
        <f>4570.63+600</f>
        <v>5170.63</v>
      </c>
      <c r="L25" s="201">
        <v>856.8</v>
      </c>
      <c r="M25" s="190">
        <v>125.31</v>
      </c>
      <c r="N25" s="21">
        <v>43.25</v>
      </c>
      <c r="O25" s="202">
        <f t="shared" si="4"/>
        <v>468.408161018659</v>
      </c>
      <c r="P25" s="204" t="s">
        <v>311</v>
      </c>
      <c r="Q25" s="211" t="e">
        <f>VLOOKUP(A25,[2]表四一般公共预算支出预算表!$A$8:$L$10000,12,0)</f>
        <v>#REF!</v>
      </c>
      <c r="S25" s="212">
        <v>370.2</v>
      </c>
      <c r="T25" s="212">
        <f t="shared" si="7"/>
        <v>486.6</v>
      </c>
      <c r="AC25" s="175">
        <f>VLOOKUP(A25,[4]Sheet3!$A$4:$C$66,3,0)</f>
        <v>4570.627229</v>
      </c>
      <c r="AD25" s="175">
        <f t="shared" si="10"/>
        <v>-600.002771</v>
      </c>
      <c r="AE25" s="175">
        <v>856.8</v>
      </c>
      <c r="AF25" s="175">
        <f t="shared" si="9"/>
        <v>0</v>
      </c>
    </row>
    <row r="26" spans="1:32">
      <c r="A26" s="191">
        <v>20133</v>
      </c>
      <c r="B26" s="192" t="s">
        <v>83</v>
      </c>
      <c r="C26" s="32">
        <f t="shared" si="0"/>
        <v>284.78</v>
      </c>
      <c r="D26" s="21">
        <f t="shared" si="1"/>
        <v>284.78</v>
      </c>
      <c r="E26" s="190">
        <v>284.78</v>
      </c>
      <c r="F26" s="190"/>
      <c r="G26" s="190"/>
      <c r="H26" s="21"/>
      <c r="I26" s="32">
        <f t="shared" si="2"/>
        <v>272.94</v>
      </c>
      <c r="J26" s="21">
        <f t="shared" si="3"/>
        <v>272.94</v>
      </c>
      <c r="K26" s="190">
        <v>272.94</v>
      </c>
      <c r="L26" s="201"/>
      <c r="M26" s="190"/>
      <c r="N26" s="21"/>
      <c r="O26" s="202">
        <f t="shared" si="4"/>
        <v>-4.15759533675117</v>
      </c>
      <c r="P26" s="204"/>
      <c r="Q26" s="211" t="e">
        <f>VLOOKUP(A26,[2]表四一般公共预算支出预算表!$A$8:$L$10000,12,0)</f>
        <v>#REF!</v>
      </c>
      <c r="T26" s="175">
        <f t="shared" si="7"/>
        <v>0</v>
      </c>
      <c r="AC26" s="175">
        <f>VLOOKUP(A26,[4]Sheet3!$A$4:$C$66,3,0)</f>
        <v>272.936777</v>
      </c>
      <c r="AD26" s="175">
        <f t="shared" si="10"/>
        <v>-0.00322299999999132</v>
      </c>
      <c r="AF26" s="175">
        <f t="shared" si="9"/>
        <v>0</v>
      </c>
    </row>
    <row r="27" ht="41" customHeight="1" spans="1:32">
      <c r="A27" s="191">
        <v>20134</v>
      </c>
      <c r="B27" s="192" t="s">
        <v>84</v>
      </c>
      <c r="C27" s="32">
        <f t="shared" si="0"/>
        <v>226.64</v>
      </c>
      <c r="D27" s="21">
        <f t="shared" si="1"/>
        <v>222.64</v>
      </c>
      <c r="E27" s="190">
        <v>184.4</v>
      </c>
      <c r="F27" s="190">
        <f>37.24+1</f>
        <v>38.24</v>
      </c>
      <c r="G27" s="190">
        <v>4</v>
      </c>
      <c r="H27" s="21"/>
      <c r="I27" s="32">
        <f t="shared" si="2"/>
        <v>222.47</v>
      </c>
      <c r="J27" s="21">
        <f t="shared" si="3"/>
        <v>204.07</v>
      </c>
      <c r="K27" s="190">
        <v>191.83</v>
      </c>
      <c r="L27" s="201">
        <v>12.24</v>
      </c>
      <c r="M27" s="190">
        <v>7</v>
      </c>
      <c r="N27" s="21">
        <v>11.4</v>
      </c>
      <c r="O27" s="202">
        <f t="shared" si="4"/>
        <v>-1.83992234380515</v>
      </c>
      <c r="P27" s="204" t="s">
        <v>312</v>
      </c>
      <c r="Q27" s="211" t="e">
        <f>VLOOKUP(A27,[2]表四一般公共预算支出预算表!$A$8:$L$10000,12,0)</f>
        <v>#REF!</v>
      </c>
      <c r="S27" s="212">
        <v>38.24</v>
      </c>
      <c r="T27" s="212">
        <f t="shared" si="7"/>
        <v>-26</v>
      </c>
      <c r="AC27" s="175">
        <f>VLOOKUP(A27,[4]Sheet3!$A$4:$C$66,3,0)</f>
        <v>191.831853</v>
      </c>
      <c r="AD27" s="175">
        <f t="shared" si="10"/>
        <v>0.00185299999998279</v>
      </c>
      <c r="AE27" s="175">
        <v>12.24</v>
      </c>
      <c r="AF27" s="175">
        <f t="shared" si="9"/>
        <v>0</v>
      </c>
    </row>
    <row r="28" ht="169" customHeight="1" spans="1:32">
      <c r="A28" s="191">
        <v>20136</v>
      </c>
      <c r="B28" s="192" t="s">
        <v>85</v>
      </c>
      <c r="C28" s="32">
        <f t="shared" si="0"/>
        <v>1040.47</v>
      </c>
      <c r="D28" s="21">
        <f t="shared" si="1"/>
        <v>1020.47</v>
      </c>
      <c r="E28" s="190">
        <v>752.11</v>
      </c>
      <c r="F28" s="190">
        <f>286.16+20.2-38</f>
        <v>268.36</v>
      </c>
      <c r="G28" s="190">
        <v>20</v>
      </c>
      <c r="H28" s="21"/>
      <c r="I28" s="32">
        <f t="shared" si="2"/>
        <v>1084.77</v>
      </c>
      <c r="J28" s="21">
        <f t="shared" si="3"/>
        <v>1042.34</v>
      </c>
      <c r="K28" s="190">
        <v>832.2</v>
      </c>
      <c r="L28" s="201">
        <v>210.14</v>
      </c>
      <c r="M28" s="190">
        <v>42.43</v>
      </c>
      <c r="N28" s="21"/>
      <c r="O28" s="202">
        <f t="shared" si="4"/>
        <v>4.25769123569158</v>
      </c>
      <c r="P28" s="204" t="s">
        <v>313</v>
      </c>
      <c r="Q28" s="211" t="e">
        <f>VLOOKUP(A28,[2]表四一般公共预算支出预算表!$A$8:$L$10000,12,0)</f>
        <v>#REF!</v>
      </c>
      <c r="S28" s="212">
        <v>268.36</v>
      </c>
      <c r="T28" s="212">
        <f t="shared" si="7"/>
        <v>-58.22</v>
      </c>
      <c r="AC28" s="175">
        <f>VLOOKUP(A28,[4]Sheet3!$A$4:$C$66,3,0)</f>
        <v>832.198145</v>
      </c>
      <c r="AD28" s="175">
        <f t="shared" si="10"/>
        <v>-0.00185500000009142</v>
      </c>
      <c r="AE28" s="175">
        <v>210.14</v>
      </c>
      <c r="AF28" s="175">
        <f t="shared" si="9"/>
        <v>0</v>
      </c>
    </row>
    <row r="29" spans="1:32">
      <c r="A29" s="191">
        <v>20138</v>
      </c>
      <c r="B29" s="192" t="s">
        <v>86</v>
      </c>
      <c r="C29" s="32">
        <f t="shared" si="0"/>
        <v>1792.38</v>
      </c>
      <c r="D29" s="21">
        <f t="shared" si="1"/>
        <v>1792.38</v>
      </c>
      <c r="E29" s="190">
        <v>1792.38</v>
      </c>
      <c r="F29" s="190"/>
      <c r="G29" s="190"/>
      <c r="H29" s="21"/>
      <c r="I29" s="32">
        <f t="shared" si="2"/>
        <v>1989.33</v>
      </c>
      <c r="J29" s="21">
        <f t="shared" si="3"/>
        <v>1916.4</v>
      </c>
      <c r="K29" s="190">
        <v>1916.4</v>
      </c>
      <c r="L29" s="201"/>
      <c r="M29" s="190">
        <v>31.93</v>
      </c>
      <c r="N29" s="21">
        <v>41</v>
      </c>
      <c r="O29" s="202">
        <f t="shared" si="4"/>
        <v>10.9881833093429</v>
      </c>
      <c r="P29" s="204"/>
      <c r="Q29" s="211" t="e">
        <f>VLOOKUP(A29,[2]表四一般公共预算支出预算表!$A$8:$L$10000,12,0)</f>
        <v>#REF!</v>
      </c>
      <c r="T29" s="175">
        <f t="shared" si="7"/>
        <v>0</v>
      </c>
      <c r="AC29" s="175">
        <f>VLOOKUP(A29,[4]Sheet3!$A$4:$C$66,3,0)</f>
        <v>1916.400818</v>
      </c>
      <c r="AD29" s="175">
        <f t="shared" si="10"/>
        <v>0.000817999999981112</v>
      </c>
      <c r="AF29" s="175">
        <f t="shared" si="9"/>
        <v>0</v>
      </c>
    </row>
    <row r="30" spans="1:32">
      <c r="A30" s="191">
        <v>20199</v>
      </c>
      <c r="B30" s="192" t="s">
        <v>87</v>
      </c>
      <c r="C30" s="32">
        <f t="shared" si="0"/>
        <v>0</v>
      </c>
      <c r="D30" s="21">
        <f t="shared" si="1"/>
        <v>0</v>
      </c>
      <c r="E30" s="190"/>
      <c r="F30" s="190"/>
      <c r="G30" s="190"/>
      <c r="H30" s="21"/>
      <c r="I30" s="32">
        <f t="shared" si="2"/>
        <v>0</v>
      </c>
      <c r="J30" s="21">
        <f t="shared" si="3"/>
        <v>0</v>
      </c>
      <c r="K30" s="190"/>
      <c r="L30" s="201"/>
      <c r="M30" s="190"/>
      <c r="N30" s="21"/>
      <c r="O30" s="202">
        <f t="shared" si="4"/>
        <v>0</v>
      </c>
      <c r="P30" s="204"/>
      <c r="Q30" s="211"/>
      <c r="AD30" s="175">
        <f t="shared" si="10"/>
        <v>0</v>
      </c>
      <c r="AF30" s="175">
        <f t="shared" si="9"/>
        <v>0</v>
      </c>
    </row>
    <row r="31" s="166" customFormat="1" ht="28.95" customHeight="1" spans="1:30">
      <c r="A31" s="189" t="s">
        <v>88</v>
      </c>
      <c r="B31" s="188" t="s">
        <v>89</v>
      </c>
      <c r="C31" s="32">
        <f t="shared" si="0"/>
        <v>265.1</v>
      </c>
      <c r="D31" s="32">
        <f t="shared" si="1"/>
        <v>192.1</v>
      </c>
      <c r="E31" s="190">
        <f>+E32</f>
        <v>125.72</v>
      </c>
      <c r="F31" s="190">
        <f>+F32</f>
        <v>66.38</v>
      </c>
      <c r="G31" s="21">
        <f>G32</f>
        <v>0</v>
      </c>
      <c r="H31" s="21">
        <f>H32</f>
        <v>73</v>
      </c>
      <c r="I31" s="32">
        <f t="shared" si="2"/>
        <v>412.71</v>
      </c>
      <c r="J31" s="32">
        <f t="shared" si="3"/>
        <v>412.71</v>
      </c>
      <c r="K31" s="190">
        <f>+K32</f>
        <v>123.98</v>
      </c>
      <c r="L31" s="190">
        <f>+L32</f>
        <v>288.73</v>
      </c>
      <c r="M31" s="21">
        <f>M32</f>
        <v>0</v>
      </c>
      <c r="N31" s="21">
        <f>N32</f>
        <v>0</v>
      </c>
      <c r="O31" s="202">
        <f t="shared" si="4"/>
        <v>55.6808751414561</v>
      </c>
      <c r="P31" s="200"/>
      <c r="Q31" s="211"/>
      <c r="S31" s="212">
        <v>66.38</v>
      </c>
      <c r="T31" s="212">
        <f t="shared" ref="T31:T38" si="11">L31-S31</f>
        <v>222.35</v>
      </c>
      <c r="U31" s="210"/>
      <c r="Y31" s="213"/>
      <c r="Z31" s="213"/>
      <c r="AA31" s="214"/>
      <c r="AC31" s="175"/>
      <c r="AD31" s="175">
        <f t="shared" si="10"/>
        <v>-123.98</v>
      </c>
    </row>
    <row r="32" ht="61" customHeight="1" spans="1:32">
      <c r="A32" s="191">
        <v>20306</v>
      </c>
      <c r="B32" s="193" t="s">
        <v>90</v>
      </c>
      <c r="C32" s="32">
        <f t="shared" si="0"/>
        <v>265.1</v>
      </c>
      <c r="D32" s="21">
        <f t="shared" si="1"/>
        <v>192.1</v>
      </c>
      <c r="E32" s="190">
        <v>125.72</v>
      </c>
      <c r="F32" s="21">
        <f>18.38+48</f>
        <v>66.38</v>
      </c>
      <c r="G32" s="21"/>
      <c r="H32" s="21">
        <v>73</v>
      </c>
      <c r="I32" s="32">
        <f t="shared" si="2"/>
        <v>412.71</v>
      </c>
      <c r="J32" s="21">
        <f t="shared" si="3"/>
        <v>412.71</v>
      </c>
      <c r="K32" s="190">
        <v>123.98</v>
      </c>
      <c r="L32" s="201">
        <v>288.73</v>
      </c>
      <c r="M32" s="190"/>
      <c r="N32" s="21"/>
      <c r="O32" s="202">
        <f t="shared" si="4"/>
        <v>55.6808751414561</v>
      </c>
      <c r="P32" s="204" t="s">
        <v>314</v>
      </c>
      <c r="Q32" s="211">
        <f>VLOOKUP(A32,[2]表四一般公共预算支出预算表!$A$8:$L$10000,12,0)</f>
        <v>50</v>
      </c>
      <c r="S32" s="212">
        <v>66.38</v>
      </c>
      <c r="T32" s="212">
        <f t="shared" si="11"/>
        <v>222.35</v>
      </c>
      <c r="AC32" s="175">
        <f>VLOOKUP(A32,[4]Sheet3!$A$4:$C$66,3,0)</f>
        <v>123.981314</v>
      </c>
      <c r="AD32" s="175">
        <f t="shared" si="10"/>
        <v>0.0013139999999936</v>
      </c>
      <c r="AE32" s="175">
        <v>288.73</v>
      </c>
      <c r="AF32" s="175">
        <f>+L32-AE32</f>
        <v>0</v>
      </c>
    </row>
    <row r="33" s="166" customFormat="1" ht="28.95" customHeight="1" spans="1:30">
      <c r="A33" s="189" t="s">
        <v>91</v>
      </c>
      <c r="B33" s="188" t="s">
        <v>92</v>
      </c>
      <c r="C33" s="32">
        <f t="shared" si="0"/>
        <v>5972.91</v>
      </c>
      <c r="D33" s="32">
        <f t="shared" si="1"/>
        <v>5190.1</v>
      </c>
      <c r="E33" s="190">
        <f t="shared" ref="E33:H33" si="12">SUM(E34:E38)</f>
        <v>1082.88</v>
      </c>
      <c r="F33" s="190">
        <f t="shared" si="12"/>
        <v>4107.22</v>
      </c>
      <c r="G33" s="21">
        <f t="shared" si="12"/>
        <v>782.81</v>
      </c>
      <c r="H33" s="21">
        <f t="shared" si="12"/>
        <v>0</v>
      </c>
      <c r="I33" s="32">
        <f t="shared" si="2"/>
        <v>4883.8141</v>
      </c>
      <c r="J33" s="32">
        <f t="shared" si="3"/>
        <v>4433.1041</v>
      </c>
      <c r="K33" s="190">
        <f>SUM(K34:K38)</f>
        <v>1105.85</v>
      </c>
      <c r="L33" s="190">
        <f>SUM(L34:L38)</f>
        <v>3327.2541</v>
      </c>
      <c r="M33" s="21">
        <f>SUM(M34:M39)</f>
        <v>344.7</v>
      </c>
      <c r="N33" s="21">
        <f>SUM(N34:N39)</f>
        <v>106.01</v>
      </c>
      <c r="O33" s="202">
        <f t="shared" si="4"/>
        <v>-18.233924502462</v>
      </c>
      <c r="P33" s="200"/>
      <c r="Q33" s="211"/>
      <c r="R33" s="175"/>
      <c r="S33" s="212"/>
      <c r="T33" s="212">
        <f t="shared" si="11"/>
        <v>3327.2541</v>
      </c>
      <c r="U33" s="210"/>
      <c r="Y33" s="213"/>
      <c r="Z33" s="213"/>
      <c r="AA33" s="214"/>
      <c r="AC33" s="175"/>
      <c r="AD33" s="175">
        <f t="shared" si="10"/>
        <v>-1105.85</v>
      </c>
    </row>
    <row r="34" ht="39" customHeight="1" spans="1:32">
      <c r="A34" s="191">
        <v>20401</v>
      </c>
      <c r="B34" s="192" t="s">
        <v>93</v>
      </c>
      <c r="C34" s="32">
        <f t="shared" si="0"/>
        <v>28</v>
      </c>
      <c r="D34" s="21">
        <f t="shared" si="1"/>
        <v>28</v>
      </c>
      <c r="E34" s="190"/>
      <c r="F34" s="21">
        <f>13+15</f>
        <v>28</v>
      </c>
      <c r="G34" s="21"/>
      <c r="H34" s="21"/>
      <c r="I34" s="32">
        <f t="shared" si="2"/>
        <v>28</v>
      </c>
      <c r="J34" s="21">
        <f t="shared" si="3"/>
        <v>28</v>
      </c>
      <c r="K34" s="190"/>
      <c r="L34" s="201">
        <v>28</v>
      </c>
      <c r="M34" s="190"/>
      <c r="N34" s="21"/>
      <c r="O34" s="202">
        <f t="shared" si="4"/>
        <v>0</v>
      </c>
      <c r="P34" s="204" t="s">
        <v>315</v>
      </c>
      <c r="Q34" s="211" t="e">
        <f>VLOOKUP(A34,[2]表四一般公共预算支出预算表!$A$8:$L$10000,12,0)</f>
        <v>#REF!</v>
      </c>
      <c r="S34" s="212"/>
      <c r="T34" s="212">
        <f t="shared" si="11"/>
        <v>28</v>
      </c>
      <c r="AD34" s="175">
        <f t="shared" si="10"/>
        <v>0</v>
      </c>
      <c r="AE34" s="175" t="e">
        <v>#N/A</v>
      </c>
      <c r="AF34" s="175" t="e">
        <f t="shared" ref="AF34:AF39" si="13">+L34-AE34</f>
        <v>#N/A</v>
      </c>
    </row>
    <row r="35" ht="78" customHeight="1" spans="1:32">
      <c r="A35" s="191">
        <v>20402</v>
      </c>
      <c r="B35" s="192" t="s">
        <v>94</v>
      </c>
      <c r="C35" s="32">
        <f t="shared" si="0"/>
        <v>3386.08</v>
      </c>
      <c r="D35" s="21">
        <f t="shared" si="1"/>
        <v>3386.08</v>
      </c>
      <c r="E35" s="190"/>
      <c r="F35" s="21">
        <f>3386.09-0.01</f>
        <v>3386.08</v>
      </c>
      <c r="G35" s="21"/>
      <c r="H35" s="21"/>
      <c r="I35" s="32">
        <f t="shared" si="2"/>
        <v>3251.432</v>
      </c>
      <c r="J35" s="21">
        <f t="shared" si="3"/>
        <v>3251.432</v>
      </c>
      <c r="K35" s="190"/>
      <c r="L35" s="201">
        <v>3251.432</v>
      </c>
      <c r="M35" s="190"/>
      <c r="N35" s="21"/>
      <c r="O35" s="202">
        <f t="shared" si="4"/>
        <v>-3.97651561687852</v>
      </c>
      <c r="P35" s="204" t="s">
        <v>316</v>
      </c>
      <c r="Q35" s="211" t="e">
        <f>VLOOKUP(A35,[2]表四一般公共预算支出预算表!$A$8:$L$10000,12,0)</f>
        <v>#REF!</v>
      </c>
      <c r="S35" s="212"/>
      <c r="T35" s="212">
        <f t="shared" si="11"/>
        <v>3251.432</v>
      </c>
      <c r="AD35" s="175">
        <f t="shared" si="10"/>
        <v>0</v>
      </c>
      <c r="AE35" s="175" t="e">
        <v>#N/A</v>
      </c>
      <c r="AF35" s="175" t="e">
        <f t="shared" si="13"/>
        <v>#N/A</v>
      </c>
    </row>
    <row r="36" ht="33" customHeight="1" spans="1:32">
      <c r="A36" s="191">
        <v>20404</v>
      </c>
      <c r="B36" s="192" t="s">
        <v>95</v>
      </c>
      <c r="C36" s="32">
        <f t="shared" si="0"/>
        <v>198.42</v>
      </c>
      <c r="D36" s="21">
        <f t="shared" si="1"/>
        <v>198.42</v>
      </c>
      <c r="E36" s="190"/>
      <c r="F36" s="21">
        <v>198.42</v>
      </c>
      <c r="G36" s="21"/>
      <c r="H36" s="21"/>
      <c r="I36" s="32">
        <f t="shared" si="2"/>
        <v>12.0036</v>
      </c>
      <c r="J36" s="21">
        <f t="shared" si="3"/>
        <v>12.0036</v>
      </c>
      <c r="K36" s="190"/>
      <c r="L36" s="201">
        <v>12.0036</v>
      </c>
      <c r="M36" s="190"/>
      <c r="N36" s="21"/>
      <c r="O36" s="202">
        <f t="shared" si="4"/>
        <v>-93.9504082249773</v>
      </c>
      <c r="P36" s="204" t="s">
        <v>317</v>
      </c>
      <c r="Q36" s="211" t="e">
        <f>VLOOKUP(A36,[2]表四一般公共预算支出预算表!$A$8:$L$10000,12,0)</f>
        <v>#REF!</v>
      </c>
      <c r="S36" s="212"/>
      <c r="T36" s="212">
        <f t="shared" si="11"/>
        <v>12.0036</v>
      </c>
      <c r="AD36" s="175">
        <f t="shared" si="10"/>
        <v>0</v>
      </c>
      <c r="AE36" s="175" t="e">
        <v>#N/A</v>
      </c>
      <c r="AF36" s="175" t="e">
        <f t="shared" si="13"/>
        <v>#N/A</v>
      </c>
    </row>
    <row r="37" ht="27" customHeight="1" spans="1:32">
      <c r="A37" s="191">
        <v>20405</v>
      </c>
      <c r="B37" s="192" t="s">
        <v>96</v>
      </c>
      <c r="C37" s="32">
        <f t="shared" si="0"/>
        <v>1090.47</v>
      </c>
      <c r="D37" s="21">
        <f t="shared" si="1"/>
        <v>470.47</v>
      </c>
      <c r="E37" s="190"/>
      <c r="F37" s="21">
        <v>470.47</v>
      </c>
      <c r="G37" s="21">
        <v>620</v>
      </c>
      <c r="H37" s="21"/>
      <c r="I37" s="32">
        <f t="shared" si="2"/>
        <v>111.5685</v>
      </c>
      <c r="J37" s="21">
        <f t="shared" si="3"/>
        <v>11.5685</v>
      </c>
      <c r="K37" s="190"/>
      <c r="L37" s="201">
        <v>11.5685</v>
      </c>
      <c r="M37" s="190"/>
      <c r="N37" s="21">
        <v>100</v>
      </c>
      <c r="O37" s="202">
        <f t="shared" si="4"/>
        <v>-89.7687694296955</v>
      </c>
      <c r="P37" s="204" t="s">
        <v>318</v>
      </c>
      <c r="Q37" s="211" t="e">
        <f>VLOOKUP(A37,[2]表四一般公共预算支出预算表!$A$8:$L$10000,12,0)</f>
        <v>#REF!</v>
      </c>
      <c r="S37" s="212"/>
      <c r="T37" s="212">
        <f t="shared" si="11"/>
        <v>11.5685</v>
      </c>
      <c r="AD37" s="175">
        <f t="shared" si="10"/>
        <v>0</v>
      </c>
      <c r="AE37" s="175" t="e">
        <v>#N/A</v>
      </c>
      <c r="AF37" s="175" t="e">
        <f t="shared" si="13"/>
        <v>#N/A</v>
      </c>
    </row>
    <row r="38" ht="36" customHeight="1" spans="1:32">
      <c r="A38" s="191">
        <v>20406</v>
      </c>
      <c r="B38" s="192" t="s">
        <v>97</v>
      </c>
      <c r="C38" s="32">
        <f t="shared" si="0"/>
        <v>1269.94</v>
      </c>
      <c r="D38" s="21">
        <f t="shared" si="1"/>
        <v>1107.13</v>
      </c>
      <c r="E38" s="190">
        <v>1082.88</v>
      </c>
      <c r="F38" s="21">
        <v>24.25</v>
      </c>
      <c r="G38" s="21">
        <f>147.81+15</f>
        <v>162.81</v>
      </c>
      <c r="H38" s="21"/>
      <c r="I38" s="32">
        <f t="shared" si="2"/>
        <v>1223.72</v>
      </c>
      <c r="J38" s="21">
        <f t="shared" si="3"/>
        <v>1130.1</v>
      </c>
      <c r="K38" s="190">
        <v>1105.85</v>
      </c>
      <c r="L38" s="201">
        <v>24.25</v>
      </c>
      <c r="M38" s="190">
        <v>87.61</v>
      </c>
      <c r="N38" s="21">
        <v>6.01</v>
      </c>
      <c r="O38" s="202">
        <f t="shared" si="4"/>
        <v>-3.63954202560753</v>
      </c>
      <c r="P38" s="204" t="s">
        <v>319</v>
      </c>
      <c r="Q38" s="211" t="e">
        <f>VLOOKUP(A38,[2]表四一般公共预算支出预算表!$A$8:$L$10000,12,0)</f>
        <v>#REF!</v>
      </c>
      <c r="S38" s="212">
        <v>24.246</v>
      </c>
      <c r="T38" s="212">
        <f t="shared" si="11"/>
        <v>0.00400000000000134</v>
      </c>
      <c r="AC38" s="175">
        <f>VLOOKUP(A38,[4]Sheet3!$A$4:$C$66,3,0)</f>
        <v>1105.849495</v>
      </c>
      <c r="AD38" s="175">
        <f t="shared" si="10"/>
        <v>-0.000504999999975553</v>
      </c>
      <c r="AE38" s="175">
        <v>24.25</v>
      </c>
      <c r="AF38" s="175">
        <f t="shared" si="13"/>
        <v>0</v>
      </c>
    </row>
    <row r="39" spans="1:32">
      <c r="A39" s="191">
        <v>20499</v>
      </c>
      <c r="B39" s="192" t="s">
        <v>98</v>
      </c>
      <c r="C39" s="32">
        <f t="shared" si="0"/>
        <v>0</v>
      </c>
      <c r="D39" s="21">
        <f t="shared" si="1"/>
        <v>0</v>
      </c>
      <c r="E39" s="190"/>
      <c r="F39" s="21"/>
      <c r="G39" s="21"/>
      <c r="H39" s="21"/>
      <c r="I39" s="32">
        <f t="shared" si="2"/>
        <v>257.09</v>
      </c>
      <c r="J39" s="21">
        <f t="shared" si="3"/>
        <v>0</v>
      </c>
      <c r="K39" s="190"/>
      <c r="L39" s="201"/>
      <c r="M39" s="190">
        <v>257.09</v>
      </c>
      <c r="N39" s="21"/>
      <c r="O39" s="202">
        <f t="shared" si="4"/>
        <v>0</v>
      </c>
      <c r="P39" s="204"/>
      <c r="Q39" s="211"/>
      <c r="S39" s="212"/>
      <c r="T39" s="212"/>
      <c r="AD39" s="175">
        <f t="shared" si="10"/>
        <v>0</v>
      </c>
      <c r="AF39" s="175">
        <f t="shared" si="13"/>
        <v>0</v>
      </c>
    </row>
    <row r="40" s="166" customFormat="1" ht="28.95" customHeight="1" spans="1:30">
      <c r="A40" s="189" t="s">
        <v>99</v>
      </c>
      <c r="B40" s="188" t="s">
        <v>100</v>
      </c>
      <c r="C40" s="32">
        <f t="shared" si="0"/>
        <v>86712.75</v>
      </c>
      <c r="D40" s="32">
        <f t="shared" si="1"/>
        <v>70704.04</v>
      </c>
      <c r="E40" s="190">
        <f t="shared" ref="E40:H40" si="14">SUM(E41:E46)</f>
        <v>62968.14</v>
      </c>
      <c r="F40" s="190">
        <f t="shared" si="14"/>
        <v>7735.9</v>
      </c>
      <c r="G40" s="21">
        <f t="shared" si="14"/>
        <v>5173.75</v>
      </c>
      <c r="H40" s="21">
        <f t="shared" si="14"/>
        <v>10834.96</v>
      </c>
      <c r="I40" s="32">
        <f t="shared" si="2"/>
        <v>78749.26</v>
      </c>
      <c r="J40" s="32">
        <f t="shared" si="3"/>
        <v>56512.85</v>
      </c>
      <c r="K40" s="190">
        <f>SUM(K41:K46)</f>
        <v>48011.63</v>
      </c>
      <c r="L40" s="190">
        <f t="shared" ref="K40:N40" si="15">SUM(L41:L46)</f>
        <v>8501.22</v>
      </c>
      <c r="M40" s="21">
        <f t="shared" si="15"/>
        <v>10964.28</v>
      </c>
      <c r="N40" s="21">
        <f t="shared" si="15"/>
        <v>11272.13</v>
      </c>
      <c r="O40" s="202">
        <f t="shared" si="4"/>
        <v>-9.18375902044393</v>
      </c>
      <c r="P40" s="200"/>
      <c r="Q40" s="211"/>
      <c r="R40" s="175"/>
      <c r="S40" s="212"/>
      <c r="T40" s="212">
        <f t="shared" ref="T40:T87" si="16">L40-S40</f>
        <v>8501.22</v>
      </c>
      <c r="U40" s="210"/>
      <c r="Y40" s="213"/>
      <c r="Z40" s="213"/>
      <c r="AA40" s="214"/>
      <c r="AC40" s="175"/>
      <c r="AD40" s="175">
        <f t="shared" si="10"/>
        <v>-48011.63</v>
      </c>
    </row>
    <row r="41" spans="1:32">
      <c r="A41" s="191">
        <v>20501</v>
      </c>
      <c r="B41" s="192" t="s">
        <v>102</v>
      </c>
      <c r="C41" s="32">
        <f t="shared" si="0"/>
        <v>150.97</v>
      </c>
      <c r="D41" s="21">
        <f t="shared" si="1"/>
        <v>150.97</v>
      </c>
      <c r="E41" s="190">
        <v>150.97</v>
      </c>
      <c r="F41" s="21"/>
      <c r="G41" s="21"/>
      <c r="H41" s="21"/>
      <c r="I41" s="32">
        <f t="shared" si="2"/>
        <v>170.63</v>
      </c>
      <c r="J41" s="21">
        <f t="shared" si="3"/>
        <v>167.69</v>
      </c>
      <c r="K41" s="190">
        <v>167.69</v>
      </c>
      <c r="L41" s="201"/>
      <c r="M41" s="190">
        <v>2.94</v>
      </c>
      <c r="N41" s="21"/>
      <c r="O41" s="202">
        <f t="shared" si="4"/>
        <v>13.0224547923428</v>
      </c>
      <c r="P41" s="204"/>
      <c r="Q41" s="211" t="e">
        <f>VLOOKUP(A41,[2]表四一般公共预算支出预算表!$A$8:$L$10000,12,0)</f>
        <v>#REF!</v>
      </c>
      <c r="T41" s="175">
        <f t="shared" si="16"/>
        <v>0</v>
      </c>
      <c r="AC41" s="175">
        <f>VLOOKUP(A41,[4]Sheet3!$A$4:$C$66,3,0)</f>
        <v>167.691891</v>
      </c>
      <c r="AD41" s="175">
        <f t="shared" si="10"/>
        <v>0.00189100000000053</v>
      </c>
      <c r="AF41" s="175">
        <f t="shared" ref="AF41:AF46" si="17">+L41-AE41</f>
        <v>0</v>
      </c>
    </row>
    <row r="42" ht="221" customHeight="1" spans="1:32">
      <c r="A42" s="191">
        <v>20502</v>
      </c>
      <c r="B42" s="194" t="s">
        <v>103</v>
      </c>
      <c r="C42" s="32">
        <f t="shared" si="0"/>
        <v>82507.76</v>
      </c>
      <c r="D42" s="21">
        <f t="shared" si="1"/>
        <v>66714.55</v>
      </c>
      <c r="E42" s="190">
        <f>43700.65+18000</f>
        <v>61700.65</v>
      </c>
      <c r="F42" s="21">
        <f>6313.9-1300</f>
        <v>5013.9</v>
      </c>
      <c r="G42" s="21">
        <f>3850.45+1107.8</f>
        <v>4958.25</v>
      </c>
      <c r="H42" s="21">
        <v>10834.96</v>
      </c>
      <c r="I42" s="32">
        <f t="shared" si="2"/>
        <v>74062.36</v>
      </c>
      <c r="J42" s="21">
        <f t="shared" si="3"/>
        <v>52020.03</v>
      </c>
      <c r="K42" s="190">
        <f>42221.33+15000+3600-8395-4000-1800</f>
        <v>46626.33</v>
      </c>
      <c r="L42" s="201">
        <v>5393.7</v>
      </c>
      <c r="M42" s="190">
        <v>10770.2</v>
      </c>
      <c r="N42" s="21">
        <f>49.95+11222.18</f>
        <v>11272.13</v>
      </c>
      <c r="O42" s="202">
        <f t="shared" si="4"/>
        <v>-10.2358856912368</v>
      </c>
      <c r="P42" s="204" t="s">
        <v>320</v>
      </c>
      <c r="Q42" s="211">
        <f>VLOOKUP(A42,[2]表四一般公共预算支出预算表!$A$8:$L$10000,12,0)</f>
        <v>10485.11</v>
      </c>
      <c r="S42" s="212">
        <v>5013.9</v>
      </c>
      <c r="T42" s="212">
        <f t="shared" si="16"/>
        <v>379.8</v>
      </c>
      <c r="AA42" s="168">
        <v>6743.7</v>
      </c>
      <c r="AC42" s="175">
        <f>VLOOKUP(A42,[4]Sheet3!$A$4:$C$66,3,0)</f>
        <v>42232.345014</v>
      </c>
      <c r="AD42" s="175">
        <f t="shared" si="10"/>
        <v>-4393.984986</v>
      </c>
      <c r="AE42" s="175">
        <v>5453.8</v>
      </c>
      <c r="AF42" s="175">
        <f t="shared" si="17"/>
        <v>-60.1000000000004</v>
      </c>
    </row>
    <row r="43" spans="1:32">
      <c r="A43" s="191">
        <v>20507</v>
      </c>
      <c r="B43" s="192" t="s">
        <v>105</v>
      </c>
      <c r="C43" s="32">
        <f t="shared" si="0"/>
        <v>310.24</v>
      </c>
      <c r="D43" s="21">
        <f t="shared" si="1"/>
        <v>212.92</v>
      </c>
      <c r="E43" s="190">
        <v>212.92</v>
      </c>
      <c r="F43" s="21"/>
      <c r="G43" s="21">
        <v>97.32</v>
      </c>
      <c r="H43" s="21"/>
      <c r="I43" s="32">
        <f t="shared" si="2"/>
        <v>294.74</v>
      </c>
      <c r="J43" s="21">
        <f t="shared" si="3"/>
        <v>219.6</v>
      </c>
      <c r="K43" s="190">
        <v>219.6</v>
      </c>
      <c r="L43" s="201"/>
      <c r="M43" s="190">
        <v>75.14</v>
      </c>
      <c r="N43" s="21"/>
      <c r="O43" s="202">
        <f t="shared" si="4"/>
        <v>-4.99613202681795</v>
      </c>
      <c r="P43" s="204"/>
      <c r="Q43" s="211">
        <f>VLOOKUP(A43,[2]表四一般公共预算支出预算表!$A$8:$L$10000,12,0)</f>
        <v>50</v>
      </c>
      <c r="S43" s="175">
        <f>VLOOKUP(A43,[3]Sheet1!$A$4:$C$61,3,0)</f>
        <v>0</v>
      </c>
      <c r="T43" s="175">
        <f t="shared" si="16"/>
        <v>0</v>
      </c>
      <c r="AC43" s="175">
        <f>VLOOKUP(A43,[4]Sheet3!$A$4:$C$66,3,0)</f>
        <v>219.602016</v>
      </c>
      <c r="AD43" s="175">
        <f t="shared" si="10"/>
        <v>0.00201599999999758</v>
      </c>
      <c r="AF43" s="175">
        <f t="shared" si="17"/>
        <v>0</v>
      </c>
    </row>
    <row r="44" spans="1:32">
      <c r="A44" s="191">
        <v>20508</v>
      </c>
      <c r="B44" s="192" t="s">
        <v>106</v>
      </c>
      <c r="C44" s="32">
        <f t="shared" si="0"/>
        <v>258.38</v>
      </c>
      <c r="D44" s="21">
        <f t="shared" si="1"/>
        <v>258.38</v>
      </c>
      <c r="E44" s="190">
        <v>258.38</v>
      </c>
      <c r="F44" s="21"/>
      <c r="G44" s="21"/>
      <c r="H44" s="21"/>
      <c r="I44" s="32">
        <f t="shared" si="2"/>
        <v>287.75</v>
      </c>
      <c r="J44" s="21">
        <f t="shared" si="3"/>
        <v>287.75</v>
      </c>
      <c r="K44" s="190">
        <v>287.75</v>
      </c>
      <c r="L44" s="201"/>
      <c r="M44" s="190"/>
      <c r="N44" s="21"/>
      <c r="O44" s="202">
        <f t="shared" si="4"/>
        <v>11.3669788683335</v>
      </c>
      <c r="P44" s="204"/>
      <c r="Q44" s="211" t="e">
        <f>VLOOKUP(A44,[2]表四一般公共预算支出预算表!$A$8:$L$10000,12,0)</f>
        <v>#REF!</v>
      </c>
      <c r="T44" s="175">
        <f t="shared" si="16"/>
        <v>0</v>
      </c>
      <c r="AC44" s="175">
        <f>VLOOKUP(A44,[4]Sheet3!$A$4:$C$66,3,0)</f>
        <v>287.746597</v>
      </c>
      <c r="AD44" s="175">
        <f t="shared" si="10"/>
        <v>-0.00340299999999161</v>
      </c>
      <c r="AF44" s="175">
        <f t="shared" si="17"/>
        <v>0</v>
      </c>
    </row>
    <row r="45" ht="63" customHeight="1" spans="1:32">
      <c r="A45" s="191">
        <v>20509</v>
      </c>
      <c r="B45" s="192" t="s">
        <v>107</v>
      </c>
      <c r="C45" s="32">
        <f t="shared" si="0"/>
        <v>2340</v>
      </c>
      <c r="D45" s="21">
        <f t="shared" si="1"/>
        <v>2340</v>
      </c>
      <c r="E45" s="190"/>
      <c r="F45" s="21">
        <v>2340</v>
      </c>
      <c r="G45" s="21"/>
      <c r="H45" s="21"/>
      <c r="I45" s="32">
        <f t="shared" si="2"/>
        <v>2000</v>
      </c>
      <c r="J45" s="21">
        <f t="shared" si="3"/>
        <v>2000</v>
      </c>
      <c r="K45" s="190"/>
      <c r="L45" s="201">
        <v>2000</v>
      </c>
      <c r="M45" s="190"/>
      <c r="N45" s="21"/>
      <c r="O45" s="202">
        <f t="shared" si="4"/>
        <v>-14.5299145299145</v>
      </c>
      <c r="P45" s="204" t="s">
        <v>321</v>
      </c>
      <c r="Q45" s="211" t="e">
        <f>VLOOKUP(A45,[2]表四一般公共预算支出预算表!$A$8:$L$10000,12,0)</f>
        <v>#REF!</v>
      </c>
      <c r="S45" s="175">
        <v>2340</v>
      </c>
      <c r="T45" s="175">
        <f t="shared" si="16"/>
        <v>-340</v>
      </c>
      <c r="AA45" s="215">
        <v>23.5</v>
      </c>
      <c r="AD45" s="175">
        <f t="shared" si="10"/>
        <v>0</v>
      </c>
      <c r="AE45" s="175">
        <v>2000</v>
      </c>
      <c r="AF45" s="175">
        <f t="shared" si="17"/>
        <v>0</v>
      </c>
    </row>
    <row r="46" ht="103" customHeight="1" spans="1:32">
      <c r="A46" s="191">
        <v>20599</v>
      </c>
      <c r="B46" s="192" t="s">
        <v>108</v>
      </c>
      <c r="C46" s="32">
        <f t="shared" si="0"/>
        <v>1145.4</v>
      </c>
      <c r="D46" s="21">
        <f t="shared" si="1"/>
        <v>1027.22</v>
      </c>
      <c r="E46" s="190">
        <v>645.22</v>
      </c>
      <c r="F46" s="21">
        <v>382</v>
      </c>
      <c r="G46" s="21">
        <f>5+113.18</f>
        <v>118.18</v>
      </c>
      <c r="H46" s="21"/>
      <c r="I46" s="32">
        <f t="shared" si="2"/>
        <v>1933.78</v>
      </c>
      <c r="J46" s="21">
        <f t="shared" si="3"/>
        <v>1817.78</v>
      </c>
      <c r="K46" s="190">
        <v>710.26</v>
      </c>
      <c r="L46" s="201">
        <v>1107.52</v>
      </c>
      <c r="M46" s="190">
        <v>116</v>
      </c>
      <c r="N46" s="21"/>
      <c r="O46" s="202">
        <f t="shared" si="4"/>
        <v>68.8301030207788</v>
      </c>
      <c r="P46" s="204" t="s">
        <v>322</v>
      </c>
      <c r="Q46" s="211" t="e">
        <f>VLOOKUP(A46,[2]表四一般公共预算支出预算表!$A$8:$L$10000,12,0)</f>
        <v>#REF!</v>
      </c>
      <c r="S46" s="212">
        <v>382</v>
      </c>
      <c r="T46" s="212">
        <f t="shared" si="16"/>
        <v>725.52</v>
      </c>
      <c r="AC46" s="175">
        <f>VLOOKUP(A46,[4]Sheet3!$A$4:$C$66,3,0)</f>
        <v>710.25773</v>
      </c>
      <c r="AD46" s="175">
        <f t="shared" ref="AD46:AD77" si="18">AC46-K46</f>
        <v>-0.00226999999995314</v>
      </c>
      <c r="AE46" s="175">
        <v>1107.52</v>
      </c>
      <c r="AF46" s="175">
        <f t="shared" si="17"/>
        <v>0</v>
      </c>
    </row>
    <row r="47" s="166" customFormat="1" ht="28.95" customHeight="1" spans="1:30">
      <c r="A47" s="189" t="s">
        <v>109</v>
      </c>
      <c r="B47" s="188" t="s">
        <v>110</v>
      </c>
      <c r="C47" s="32">
        <f t="shared" si="0"/>
        <v>2268.43</v>
      </c>
      <c r="D47" s="32">
        <f t="shared" si="1"/>
        <v>2248.43</v>
      </c>
      <c r="E47" s="190">
        <f>+E48+E49+E50+E51</f>
        <v>2248.43</v>
      </c>
      <c r="F47" s="190">
        <f>+F48+F49+F50+F51</f>
        <v>0</v>
      </c>
      <c r="G47" s="21">
        <f>SUM(G48:G51)</f>
        <v>20</v>
      </c>
      <c r="H47" s="21">
        <f>SUM(H48:H51)</f>
        <v>0</v>
      </c>
      <c r="I47" s="32">
        <f t="shared" si="2"/>
        <v>2389.67</v>
      </c>
      <c r="J47" s="32">
        <f t="shared" si="3"/>
        <v>2369.67</v>
      </c>
      <c r="K47" s="190">
        <f>+K48+K49+K50+K51</f>
        <v>2369.67</v>
      </c>
      <c r="L47" s="190">
        <f>+L48+L49+L50+L51</f>
        <v>0</v>
      </c>
      <c r="M47" s="21">
        <f>SUM(M48:M51)</f>
        <v>20</v>
      </c>
      <c r="N47" s="21">
        <f>SUM(N48:N51)</f>
        <v>0</v>
      </c>
      <c r="O47" s="202">
        <f t="shared" si="4"/>
        <v>5.344665693894</v>
      </c>
      <c r="P47" s="200"/>
      <c r="Q47" s="211"/>
      <c r="R47" s="175"/>
      <c r="S47" s="175"/>
      <c r="T47" s="175">
        <f t="shared" si="16"/>
        <v>0</v>
      </c>
      <c r="U47" s="210"/>
      <c r="Y47" s="213"/>
      <c r="Z47" s="213"/>
      <c r="AA47" s="214"/>
      <c r="AC47" s="175"/>
      <c r="AD47" s="175">
        <f t="shared" si="18"/>
        <v>-2369.67</v>
      </c>
    </row>
    <row r="48" spans="1:32">
      <c r="A48" s="191">
        <v>20601</v>
      </c>
      <c r="B48" s="192" t="s">
        <v>111</v>
      </c>
      <c r="C48" s="32">
        <f t="shared" si="0"/>
        <v>96.94</v>
      </c>
      <c r="D48" s="21">
        <f t="shared" si="1"/>
        <v>96.94</v>
      </c>
      <c r="E48" s="190">
        <v>96.94</v>
      </c>
      <c r="F48" s="21"/>
      <c r="G48" s="21"/>
      <c r="H48" s="21"/>
      <c r="I48" s="32">
        <f t="shared" si="2"/>
        <v>119.37</v>
      </c>
      <c r="J48" s="21">
        <f t="shared" si="3"/>
        <v>119.37</v>
      </c>
      <c r="K48" s="190">
        <v>119.37</v>
      </c>
      <c r="L48" s="201"/>
      <c r="M48" s="190"/>
      <c r="N48" s="21"/>
      <c r="O48" s="202">
        <f t="shared" si="4"/>
        <v>23.1380235197029</v>
      </c>
      <c r="P48" s="204"/>
      <c r="Q48" s="211" t="e">
        <f>VLOOKUP(A48,[2]表四一般公共预算支出预算表!$A$8:$L$10000,12,0)</f>
        <v>#REF!</v>
      </c>
      <c r="S48" s="212">
        <v>0</v>
      </c>
      <c r="T48" s="212">
        <f t="shared" si="16"/>
        <v>0</v>
      </c>
      <c r="AC48" s="175">
        <f>VLOOKUP(A48,[4]Sheet3!$A$4:$C$66,3,0)</f>
        <v>119.365883</v>
      </c>
      <c r="AD48" s="175">
        <f t="shared" si="18"/>
        <v>-0.00411700000000792</v>
      </c>
      <c r="AF48" s="175">
        <f>+L48-AE48</f>
        <v>0</v>
      </c>
    </row>
    <row r="49" spans="1:32">
      <c r="A49" s="191">
        <v>20603</v>
      </c>
      <c r="B49" s="192" t="s">
        <v>112</v>
      </c>
      <c r="C49" s="32">
        <f t="shared" si="0"/>
        <v>20</v>
      </c>
      <c r="D49" s="21">
        <f t="shared" si="1"/>
        <v>0</v>
      </c>
      <c r="E49" s="190"/>
      <c r="F49" s="21"/>
      <c r="G49" s="21">
        <f>10+10</f>
        <v>20</v>
      </c>
      <c r="H49" s="21"/>
      <c r="I49" s="32">
        <f t="shared" si="2"/>
        <v>20</v>
      </c>
      <c r="J49" s="21">
        <f t="shared" si="3"/>
        <v>0</v>
      </c>
      <c r="K49" s="190"/>
      <c r="L49" s="201"/>
      <c r="M49" s="190">
        <v>20</v>
      </c>
      <c r="N49" s="21"/>
      <c r="O49" s="202">
        <f t="shared" si="4"/>
        <v>0</v>
      </c>
      <c r="P49" s="204"/>
      <c r="Q49" s="211" t="e">
        <f>VLOOKUP(A49,[2]表四一般公共预算支出预算表!$A$8:$L$10000,12,0)</f>
        <v>#REF!</v>
      </c>
      <c r="T49" s="175">
        <f t="shared" si="16"/>
        <v>0</v>
      </c>
      <c r="AD49" s="175">
        <f t="shared" si="18"/>
        <v>0</v>
      </c>
      <c r="AF49" s="175">
        <f>+L49-AE49</f>
        <v>0</v>
      </c>
    </row>
    <row r="50" spans="1:32">
      <c r="A50" s="191">
        <v>20604</v>
      </c>
      <c r="B50" s="193" t="s">
        <v>113</v>
      </c>
      <c r="C50" s="32">
        <f t="shared" si="0"/>
        <v>2074.44</v>
      </c>
      <c r="D50" s="21">
        <f t="shared" si="1"/>
        <v>2074.44</v>
      </c>
      <c r="E50" s="190">
        <f>174.44+1900</f>
        <v>2074.44</v>
      </c>
      <c r="F50" s="21"/>
      <c r="G50" s="21"/>
      <c r="H50" s="21"/>
      <c r="I50" s="32">
        <f t="shared" si="2"/>
        <v>2163.67</v>
      </c>
      <c r="J50" s="21">
        <f t="shared" si="3"/>
        <v>2163.67</v>
      </c>
      <c r="K50" s="190">
        <f>163.67+2000</f>
        <v>2163.67</v>
      </c>
      <c r="L50" s="201"/>
      <c r="M50" s="190"/>
      <c r="N50" s="21"/>
      <c r="O50" s="202">
        <f t="shared" si="4"/>
        <v>4.30140182410675</v>
      </c>
      <c r="P50" s="204"/>
      <c r="Q50" s="211" t="e">
        <f>VLOOKUP(A50,[2]表四一般公共预算支出预算表!$A$8:$L$10000,12,0)</f>
        <v>#REF!</v>
      </c>
      <c r="T50" s="175">
        <f t="shared" si="16"/>
        <v>0</v>
      </c>
      <c r="AC50" s="175">
        <f>VLOOKUP(A50,[4]Sheet3!$A$4:$C$66,3,0)</f>
        <v>163.666502</v>
      </c>
      <c r="AD50" s="175">
        <f t="shared" si="18"/>
        <v>-2000.003498</v>
      </c>
      <c r="AF50" s="175">
        <f>+L50-AE50</f>
        <v>0</v>
      </c>
    </row>
    <row r="51" spans="1:32">
      <c r="A51" s="191">
        <v>20607</v>
      </c>
      <c r="B51" s="192" t="s">
        <v>114</v>
      </c>
      <c r="C51" s="32">
        <f t="shared" si="0"/>
        <v>77.05</v>
      </c>
      <c r="D51" s="21">
        <f t="shared" si="1"/>
        <v>77.05</v>
      </c>
      <c r="E51" s="190">
        <v>77.05</v>
      </c>
      <c r="F51" s="21"/>
      <c r="G51" s="21"/>
      <c r="H51" s="21"/>
      <c r="I51" s="32">
        <f t="shared" si="2"/>
        <v>86.63</v>
      </c>
      <c r="J51" s="21">
        <f t="shared" si="3"/>
        <v>86.63</v>
      </c>
      <c r="K51" s="190">
        <v>86.63</v>
      </c>
      <c r="L51" s="201"/>
      <c r="M51" s="190"/>
      <c r="N51" s="21"/>
      <c r="O51" s="202">
        <f t="shared" si="4"/>
        <v>12.4334847501622</v>
      </c>
      <c r="P51" s="204"/>
      <c r="Q51" s="211" t="e">
        <f>VLOOKUP(A51,[2]表四一般公共预算支出预算表!$A$8:$L$10000,12,0)</f>
        <v>#REF!</v>
      </c>
      <c r="T51" s="175">
        <f t="shared" si="16"/>
        <v>0</v>
      </c>
      <c r="AC51" s="175">
        <f>VLOOKUP(A51,[4]Sheet3!$A$4:$C$66,3,0)</f>
        <v>86.632255</v>
      </c>
      <c r="AD51" s="175">
        <f t="shared" si="18"/>
        <v>0.00225500000000523</v>
      </c>
      <c r="AF51" s="175">
        <f>+L51-AE51</f>
        <v>0</v>
      </c>
    </row>
    <row r="52" s="166" customFormat="1" ht="28.95" customHeight="1" spans="1:30">
      <c r="A52" s="189" t="s">
        <v>116</v>
      </c>
      <c r="B52" s="188" t="s">
        <v>117</v>
      </c>
      <c r="C52" s="32">
        <f t="shared" si="0"/>
        <v>2682.52</v>
      </c>
      <c r="D52" s="32">
        <f t="shared" si="1"/>
        <v>1631.17</v>
      </c>
      <c r="E52" s="190">
        <f>+E53+E54+E55+E56+E57+E58</f>
        <v>1490.82</v>
      </c>
      <c r="F52" s="190">
        <f>+F53+F54+F55+F56+F57+F58</f>
        <v>140.35</v>
      </c>
      <c r="G52" s="21">
        <f>SUM(G53:G58)</f>
        <v>765.35</v>
      </c>
      <c r="H52" s="21">
        <f>SUM(H53:H58)</f>
        <v>286</v>
      </c>
      <c r="I52" s="32">
        <f t="shared" si="2"/>
        <v>3897.66</v>
      </c>
      <c r="J52" s="32">
        <f t="shared" si="3"/>
        <v>1723.15</v>
      </c>
      <c r="K52" s="190">
        <f>+K53+K54+K55+K56+K57+K58</f>
        <v>1609.28</v>
      </c>
      <c r="L52" s="190">
        <f>+L53+L54+L55+L56+L57+L58</f>
        <v>113.87</v>
      </c>
      <c r="M52" s="21">
        <f>SUM(M53:M58)</f>
        <v>1916.71</v>
      </c>
      <c r="N52" s="21">
        <f>SUM(N53:N58)</f>
        <v>257.8</v>
      </c>
      <c r="O52" s="202">
        <f t="shared" si="4"/>
        <v>45.2984507105259</v>
      </c>
      <c r="P52" s="200"/>
      <c r="Q52" s="211"/>
      <c r="R52" s="175"/>
      <c r="S52" s="212"/>
      <c r="T52" s="212">
        <f t="shared" si="16"/>
        <v>113.87</v>
      </c>
      <c r="U52" s="210"/>
      <c r="Y52" s="213"/>
      <c r="Z52" s="213"/>
      <c r="AA52" s="214"/>
      <c r="AC52" s="175"/>
      <c r="AD52" s="175">
        <f t="shared" si="18"/>
        <v>-1609.28</v>
      </c>
    </row>
    <row r="53" ht="78" customHeight="1" spans="1:32">
      <c r="A53" s="191">
        <v>20701</v>
      </c>
      <c r="B53" s="192" t="s">
        <v>118</v>
      </c>
      <c r="C53" s="32">
        <f t="shared" si="0"/>
        <v>1153.3</v>
      </c>
      <c r="D53" s="21">
        <f t="shared" si="1"/>
        <v>789.97</v>
      </c>
      <c r="E53" s="190">
        <v>729.97</v>
      </c>
      <c r="F53" s="21">
        <v>60</v>
      </c>
      <c r="G53" s="21">
        <v>273.33</v>
      </c>
      <c r="H53" s="21">
        <v>90</v>
      </c>
      <c r="I53" s="32">
        <f t="shared" si="2"/>
        <v>2149.27</v>
      </c>
      <c r="J53" s="21">
        <f t="shared" si="3"/>
        <v>888.68</v>
      </c>
      <c r="K53" s="190">
        <v>860.68</v>
      </c>
      <c r="L53" s="201">
        <v>28</v>
      </c>
      <c r="M53" s="190">
        <v>1180.79</v>
      </c>
      <c r="N53" s="21">
        <v>79.8</v>
      </c>
      <c r="O53" s="202">
        <f t="shared" si="4"/>
        <v>86.3582762507587</v>
      </c>
      <c r="P53" s="204" t="s">
        <v>323</v>
      </c>
      <c r="Q53" s="211">
        <f>VLOOKUP(A53,[2]表四一般公共预算支出预算表!$A$8:$L$10000,12,0)</f>
        <v>64</v>
      </c>
      <c r="S53" s="175">
        <f>VLOOKUP(A53,[3]Sheet1!$A$4:$C$61,3,0)</f>
        <v>60</v>
      </c>
      <c r="T53" s="175">
        <f t="shared" si="16"/>
        <v>-32</v>
      </c>
      <c r="AC53" s="175">
        <f>VLOOKUP(A53,[4]Sheet3!$A$4:$C$66,3,0)</f>
        <v>860.683652</v>
      </c>
      <c r="AD53" s="175">
        <f t="shared" si="18"/>
        <v>0.00365200000010191</v>
      </c>
      <c r="AE53" s="175">
        <v>28</v>
      </c>
      <c r="AF53" s="175">
        <f t="shared" ref="AF53:AF58" si="19">+L53-AE53</f>
        <v>0</v>
      </c>
    </row>
    <row r="54" spans="1:32">
      <c r="A54" s="191">
        <v>20702</v>
      </c>
      <c r="B54" s="192" t="s">
        <v>119</v>
      </c>
      <c r="C54" s="32">
        <f t="shared" si="0"/>
        <v>84.35</v>
      </c>
      <c r="D54" s="21">
        <f t="shared" si="1"/>
        <v>54.35</v>
      </c>
      <c r="E54" s="190">
        <v>54.35</v>
      </c>
      <c r="F54" s="21"/>
      <c r="G54" s="21">
        <v>30</v>
      </c>
      <c r="H54" s="21"/>
      <c r="I54" s="32">
        <f t="shared" si="2"/>
        <v>62.15</v>
      </c>
      <c r="J54" s="21">
        <f t="shared" si="3"/>
        <v>55.19</v>
      </c>
      <c r="K54" s="190">
        <v>55.19</v>
      </c>
      <c r="L54" s="201"/>
      <c r="M54" s="190">
        <v>6.96</v>
      </c>
      <c r="N54" s="21"/>
      <c r="O54" s="202">
        <f t="shared" si="4"/>
        <v>-26.3189093064612</v>
      </c>
      <c r="P54" s="204"/>
      <c r="Q54" s="211" t="e">
        <f>VLOOKUP(A54,[2]表四一般公共预算支出预算表!$A$8:$L$10000,12,0)</f>
        <v>#REF!</v>
      </c>
      <c r="T54" s="175">
        <f t="shared" si="16"/>
        <v>0</v>
      </c>
      <c r="AC54" s="175">
        <f>VLOOKUP(A54,[4]Sheet3!$A$4:$C$66,3,0)</f>
        <v>55.191157</v>
      </c>
      <c r="AD54" s="175">
        <f t="shared" si="18"/>
        <v>0.00115699999999919</v>
      </c>
      <c r="AF54" s="175">
        <f t="shared" si="19"/>
        <v>0</v>
      </c>
    </row>
    <row r="55" ht="42" customHeight="1" spans="1:32">
      <c r="A55" s="191">
        <v>20703</v>
      </c>
      <c r="B55" s="192" t="s">
        <v>120</v>
      </c>
      <c r="C55" s="32">
        <f t="shared" si="0"/>
        <v>592.39</v>
      </c>
      <c r="D55" s="21">
        <f t="shared" si="1"/>
        <v>220.39</v>
      </c>
      <c r="E55" s="190">
        <v>140.04</v>
      </c>
      <c r="F55" s="21">
        <v>80.35</v>
      </c>
      <c r="G55" s="21">
        <v>176</v>
      </c>
      <c r="H55" s="21">
        <v>196</v>
      </c>
      <c r="I55" s="32">
        <f t="shared" si="2"/>
        <v>769.03</v>
      </c>
      <c r="J55" s="21">
        <f t="shared" si="3"/>
        <v>222.33</v>
      </c>
      <c r="K55" s="190">
        <v>141.98</v>
      </c>
      <c r="L55" s="201">
        <v>80.35</v>
      </c>
      <c r="M55" s="190">
        <v>374.7</v>
      </c>
      <c r="N55" s="21">
        <v>172</v>
      </c>
      <c r="O55" s="202">
        <f t="shared" si="4"/>
        <v>29.8181940951063</v>
      </c>
      <c r="P55" s="204" t="s">
        <v>324</v>
      </c>
      <c r="Q55" s="211" t="e">
        <f>VLOOKUP(A55,[2]表四一般公共预算支出预算表!$A$8:$L$10000,12,0)</f>
        <v>#REF!</v>
      </c>
      <c r="S55" s="212">
        <v>80.35</v>
      </c>
      <c r="T55" s="212">
        <f t="shared" si="16"/>
        <v>0</v>
      </c>
      <c r="AC55" s="175">
        <f>VLOOKUP(A55,[4]Sheet3!$A$4:$C$66,3,0)</f>
        <v>141.984563</v>
      </c>
      <c r="AD55" s="175">
        <f t="shared" si="18"/>
        <v>0.00456300000001875</v>
      </c>
      <c r="AE55" s="175">
        <v>80.35</v>
      </c>
      <c r="AF55" s="175">
        <f t="shared" si="19"/>
        <v>0</v>
      </c>
    </row>
    <row r="56" spans="1:32">
      <c r="A56" s="191">
        <v>20706</v>
      </c>
      <c r="B56" s="192" t="s">
        <v>121</v>
      </c>
      <c r="C56" s="32">
        <f t="shared" si="0"/>
        <v>525.9</v>
      </c>
      <c r="D56" s="21">
        <f t="shared" si="1"/>
        <v>525.9</v>
      </c>
      <c r="E56" s="190">
        <v>525.9</v>
      </c>
      <c r="F56" s="21"/>
      <c r="G56" s="21"/>
      <c r="H56" s="21"/>
      <c r="I56" s="32">
        <f t="shared" si="2"/>
        <v>513.42</v>
      </c>
      <c r="J56" s="21">
        <f t="shared" si="3"/>
        <v>513.42</v>
      </c>
      <c r="K56" s="190">
        <v>513.42</v>
      </c>
      <c r="L56" s="201"/>
      <c r="M56" s="190"/>
      <c r="N56" s="21"/>
      <c r="O56" s="202">
        <f t="shared" si="4"/>
        <v>-2.37307472903594</v>
      </c>
      <c r="P56" s="204"/>
      <c r="Q56" s="211" t="e">
        <f>VLOOKUP(A56,[2]表四一般公共预算支出预算表!$A$8:$L$10000,12,0)</f>
        <v>#REF!</v>
      </c>
      <c r="T56" s="175">
        <f t="shared" si="16"/>
        <v>0</v>
      </c>
      <c r="AC56" s="175">
        <f>VLOOKUP(A56,[4]Sheet3!$A$4:$C$66,3,0)</f>
        <v>513.422544</v>
      </c>
      <c r="AD56" s="175">
        <f t="shared" si="18"/>
        <v>0.00254400000005717</v>
      </c>
      <c r="AF56" s="175">
        <f t="shared" si="19"/>
        <v>0</v>
      </c>
    </row>
    <row r="57" spans="1:32">
      <c r="A57" s="191">
        <v>20708</v>
      </c>
      <c r="B57" s="192" t="s">
        <v>122</v>
      </c>
      <c r="C57" s="32">
        <f t="shared" si="0"/>
        <v>85.56</v>
      </c>
      <c r="D57" s="21">
        <f t="shared" si="1"/>
        <v>40.56</v>
      </c>
      <c r="E57" s="190">
        <v>40.56</v>
      </c>
      <c r="F57" s="21"/>
      <c r="G57" s="21">
        <v>45</v>
      </c>
      <c r="H57" s="21"/>
      <c r="I57" s="32">
        <f t="shared" si="2"/>
        <v>54.02</v>
      </c>
      <c r="J57" s="21">
        <f t="shared" si="3"/>
        <v>38.01</v>
      </c>
      <c r="K57" s="190">
        <v>38.01</v>
      </c>
      <c r="L57" s="201"/>
      <c r="M57" s="190">
        <v>10.01</v>
      </c>
      <c r="N57" s="21">
        <v>6</v>
      </c>
      <c r="O57" s="202">
        <f t="shared" si="4"/>
        <v>-36.8630201028518</v>
      </c>
      <c r="P57" s="204"/>
      <c r="Q57" s="211" t="e">
        <f>VLOOKUP(A57,[2]表四一般公共预算支出预算表!$A$8:$L$10000,12,0)</f>
        <v>#REF!</v>
      </c>
      <c r="T57" s="175">
        <f t="shared" si="16"/>
        <v>0</v>
      </c>
      <c r="AC57" s="175">
        <f>VLOOKUP(A57,[4]Sheet3!$A$4:$C$66,3,0)</f>
        <v>38.007892</v>
      </c>
      <c r="AD57" s="175">
        <f t="shared" si="18"/>
        <v>-0.00210799999999978</v>
      </c>
      <c r="AF57" s="175">
        <f t="shared" si="19"/>
        <v>0</v>
      </c>
    </row>
    <row r="58" ht="24" spans="1:32">
      <c r="A58" s="191">
        <v>20799</v>
      </c>
      <c r="B58" s="192" t="s">
        <v>123</v>
      </c>
      <c r="C58" s="32">
        <f t="shared" si="0"/>
        <v>241.02</v>
      </c>
      <c r="D58" s="21">
        <f t="shared" si="1"/>
        <v>0</v>
      </c>
      <c r="E58" s="190"/>
      <c r="F58" s="21"/>
      <c r="G58" s="21">
        <v>241.02</v>
      </c>
      <c r="H58" s="21"/>
      <c r="I58" s="32">
        <f t="shared" si="2"/>
        <v>349.77</v>
      </c>
      <c r="J58" s="21">
        <f t="shared" si="3"/>
        <v>5.52</v>
      </c>
      <c r="K58" s="190"/>
      <c r="L58" s="201">
        <v>5.52</v>
      </c>
      <c r="M58" s="190">
        <v>344.25</v>
      </c>
      <c r="N58" s="21"/>
      <c r="O58" s="202">
        <f t="shared" si="4"/>
        <v>45.1207368683097</v>
      </c>
      <c r="P58" s="204" t="s">
        <v>325</v>
      </c>
      <c r="Q58" s="211">
        <f>VLOOKUP(A58,[2]表四一般公共预算支出预算表!$A$8:$L$10000,12,0)</f>
        <v>236</v>
      </c>
      <c r="T58" s="175">
        <f t="shared" si="16"/>
        <v>5.52</v>
      </c>
      <c r="AD58" s="175">
        <f t="shared" si="18"/>
        <v>0</v>
      </c>
      <c r="AE58" s="175">
        <v>5.52</v>
      </c>
      <c r="AF58" s="175">
        <f t="shared" si="19"/>
        <v>0</v>
      </c>
    </row>
    <row r="59" s="166" customFormat="1" ht="28.95" customHeight="1" spans="1:30">
      <c r="A59" s="189" t="s">
        <v>124</v>
      </c>
      <c r="B59" s="188" t="s">
        <v>125</v>
      </c>
      <c r="C59" s="32">
        <f t="shared" si="0"/>
        <v>71310.12</v>
      </c>
      <c r="D59" s="32">
        <f t="shared" si="1"/>
        <v>38268.88</v>
      </c>
      <c r="E59" s="190">
        <f t="shared" ref="E59:G59" si="20">SUM(E60:E76)</f>
        <v>33439.83</v>
      </c>
      <c r="F59" s="190">
        <f t="shared" si="20"/>
        <v>4829.05</v>
      </c>
      <c r="G59" s="21">
        <f t="shared" si="20"/>
        <v>11374.43</v>
      </c>
      <c r="H59" s="21">
        <f>SUM(H60:H75)</f>
        <v>21666.81</v>
      </c>
      <c r="I59" s="32">
        <f t="shared" si="2"/>
        <v>74251.351</v>
      </c>
      <c r="J59" s="32">
        <f t="shared" si="3"/>
        <v>43670.95</v>
      </c>
      <c r="K59" s="190">
        <f>SUM(K60:K76)</f>
        <v>38054.1</v>
      </c>
      <c r="L59" s="190">
        <f t="shared" ref="K59:M59" si="21">SUM(L60:L76)</f>
        <v>5616.85</v>
      </c>
      <c r="M59" s="21">
        <f t="shared" si="21"/>
        <v>10562.38</v>
      </c>
      <c r="N59" s="21">
        <f>SUM(N60:N75)</f>
        <v>20018.021</v>
      </c>
      <c r="O59" s="202">
        <f t="shared" si="4"/>
        <v>4.12456324572162</v>
      </c>
      <c r="P59" s="200"/>
      <c r="Q59" s="211"/>
      <c r="R59" s="175"/>
      <c r="S59" s="212"/>
      <c r="T59" s="212">
        <f t="shared" si="16"/>
        <v>5616.85</v>
      </c>
      <c r="U59" s="210"/>
      <c r="Y59" s="213"/>
      <c r="Z59" s="213"/>
      <c r="AA59" s="214"/>
      <c r="AC59" s="175"/>
      <c r="AD59" s="175">
        <f t="shared" si="18"/>
        <v>-38054.1</v>
      </c>
    </row>
    <row r="60" ht="60" customHeight="1" spans="1:32">
      <c r="A60" s="191">
        <v>20801</v>
      </c>
      <c r="B60" s="193" t="s">
        <v>126</v>
      </c>
      <c r="C60" s="32">
        <f t="shared" si="0"/>
        <v>2048.85</v>
      </c>
      <c r="D60" s="21">
        <f t="shared" si="1"/>
        <v>1914.64</v>
      </c>
      <c r="E60" s="190">
        <v>1864.64</v>
      </c>
      <c r="F60" s="21">
        <v>50</v>
      </c>
      <c r="G60" s="21">
        <v>78.58</v>
      </c>
      <c r="H60" s="21">
        <v>55.63</v>
      </c>
      <c r="I60" s="32">
        <f t="shared" si="2"/>
        <v>2315.03</v>
      </c>
      <c r="J60" s="21">
        <f t="shared" si="3"/>
        <v>2060.12</v>
      </c>
      <c r="K60" s="190">
        <v>1980.12</v>
      </c>
      <c r="L60" s="201">
        <v>80</v>
      </c>
      <c r="M60" s="190">
        <v>228.17</v>
      </c>
      <c r="N60" s="21">
        <v>26.74</v>
      </c>
      <c r="O60" s="202">
        <f t="shared" si="4"/>
        <v>12.9916782585353</v>
      </c>
      <c r="P60" s="204" t="s">
        <v>326</v>
      </c>
      <c r="Q60" s="211">
        <f>VLOOKUP(A60,[2]表四一般公共预算支出预算表!$A$8:$L$10000,12,0)</f>
        <v>55</v>
      </c>
      <c r="S60" s="175">
        <v>50</v>
      </c>
      <c r="T60" s="175">
        <f t="shared" si="16"/>
        <v>30</v>
      </c>
      <c r="AC60" s="175">
        <f>VLOOKUP(A60,[4]Sheet3!$A$4:$C$66,3,0)</f>
        <v>1980.123585</v>
      </c>
      <c r="AD60" s="175">
        <f t="shared" si="18"/>
        <v>0.00358500000015738</v>
      </c>
      <c r="AE60" s="175">
        <v>80</v>
      </c>
      <c r="AF60" s="175">
        <f t="shared" ref="AF60:AF76" si="22">+L60-AE60</f>
        <v>0</v>
      </c>
    </row>
    <row r="61" ht="58" customHeight="1" spans="1:32">
      <c r="A61" s="191">
        <v>20802</v>
      </c>
      <c r="B61" s="192" t="s">
        <v>127</v>
      </c>
      <c r="C61" s="32">
        <f t="shared" si="0"/>
        <v>2728.2</v>
      </c>
      <c r="D61" s="21">
        <f t="shared" si="1"/>
        <v>440</v>
      </c>
      <c r="E61" s="190">
        <v>337</v>
      </c>
      <c r="F61" s="21">
        <v>103</v>
      </c>
      <c r="G61" s="21">
        <v>115.2</v>
      </c>
      <c r="H61" s="21">
        <v>2173</v>
      </c>
      <c r="I61" s="32">
        <f t="shared" si="2"/>
        <v>697.5</v>
      </c>
      <c r="J61" s="21">
        <f t="shared" si="3"/>
        <v>488.77</v>
      </c>
      <c r="K61" s="190">
        <v>371.77</v>
      </c>
      <c r="L61" s="201">
        <v>117</v>
      </c>
      <c r="M61" s="190">
        <v>101.73</v>
      </c>
      <c r="N61" s="21">
        <v>107</v>
      </c>
      <c r="O61" s="202">
        <f t="shared" si="4"/>
        <v>-74.4336925445349</v>
      </c>
      <c r="P61" s="204" t="s">
        <v>327</v>
      </c>
      <c r="Q61" s="211" t="e">
        <f>VLOOKUP(A61,[2]表四一般公共预算支出预算表!$A$8:$L$10000,12,0)</f>
        <v>#REF!</v>
      </c>
      <c r="S61" s="175">
        <v>103</v>
      </c>
      <c r="T61" s="175">
        <f t="shared" si="16"/>
        <v>14</v>
      </c>
      <c r="AC61" s="175">
        <f>VLOOKUP(A61,[4]Sheet3!$A$4:$C$66,3,0)</f>
        <v>371.770726</v>
      </c>
      <c r="AD61" s="175">
        <f t="shared" si="18"/>
        <v>0.000726000000042859</v>
      </c>
      <c r="AE61" s="175">
        <v>117</v>
      </c>
      <c r="AF61" s="175">
        <f t="shared" si="22"/>
        <v>0</v>
      </c>
    </row>
    <row r="62" ht="64" customHeight="1" spans="1:32">
      <c r="A62" s="191">
        <v>20805</v>
      </c>
      <c r="B62" s="192" t="s">
        <v>128</v>
      </c>
      <c r="C62" s="32">
        <f t="shared" si="0"/>
        <v>33862.27</v>
      </c>
      <c r="D62" s="21">
        <f t="shared" si="1"/>
        <v>31300.27</v>
      </c>
      <c r="E62" s="190">
        <f>20714.92+7000+3000</f>
        <v>30714.92</v>
      </c>
      <c r="F62" s="21">
        <v>585.35</v>
      </c>
      <c r="G62" s="21"/>
      <c r="H62" s="21">
        <v>2562</v>
      </c>
      <c r="I62" s="32">
        <f t="shared" si="2"/>
        <v>38599.81</v>
      </c>
      <c r="J62" s="21">
        <f t="shared" si="3"/>
        <v>35673.81</v>
      </c>
      <c r="K62" s="190">
        <f>25042.24+10000</f>
        <v>35042.24</v>
      </c>
      <c r="L62" s="201">
        <v>631.57</v>
      </c>
      <c r="M62" s="190"/>
      <c r="N62" s="21">
        <v>2926</v>
      </c>
      <c r="O62" s="202">
        <f t="shared" si="4"/>
        <v>13.9906155139629</v>
      </c>
      <c r="P62" s="204" t="s">
        <v>328</v>
      </c>
      <c r="Q62" s="211">
        <f>VLOOKUP(A62,[2]表四一般公共预算支出预算表!$A$8:$L$10000,12,0)</f>
        <v>2192</v>
      </c>
      <c r="S62" s="212">
        <v>500</v>
      </c>
      <c r="T62" s="212">
        <f t="shared" si="16"/>
        <v>131.57</v>
      </c>
      <c r="AC62" s="175">
        <f>VLOOKUP(A62,[4]Sheet3!$A$4:$C$66,3,0)</f>
        <v>25031.563052</v>
      </c>
      <c r="AD62" s="175">
        <f t="shared" si="18"/>
        <v>-10010.676948</v>
      </c>
      <c r="AE62" s="175">
        <v>549.57</v>
      </c>
      <c r="AF62" s="175">
        <f t="shared" si="22"/>
        <v>82</v>
      </c>
    </row>
    <row r="63" ht="18" customHeight="1" spans="1:32">
      <c r="A63" s="191">
        <v>20807</v>
      </c>
      <c r="B63" s="192" t="s">
        <v>130</v>
      </c>
      <c r="C63" s="32">
        <f t="shared" si="0"/>
        <v>1231.07</v>
      </c>
      <c r="D63" s="21">
        <f t="shared" si="1"/>
        <v>0</v>
      </c>
      <c r="E63" s="190"/>
      <c r="F63" s="21"/>
      <c r="G63" s="21">
        <v>155.07</v>
      </c>
      <c r="H63" s="21">
        <v>1076</v>
      </c>
      <c r="I63" s="32">
        <f t="shared" si="2"/>
        <v>1407.31</v>
      </c>
      <c r="J63" s="21">
        <f t="shared" si="3"/>
        <v>0</v>
      </c>
      <c r="K63" s="190"/>
      <c r="L63" s="201"/>
      <c r="M63" s="190">
        <v>330.31</v>
      </c>
      <c r="N63" s="21">
        <v>1077</v>
      </c>
      <c r="O63" s="202">
        <f t="shared" si="4"/>
        <v>14.3160015271268</v>
      </c>
      <c r="P63" s="204"/>
      <c r="Q63" s="211">
        <f>VLOOKUP(A63,[2]表四一般公共预算支出预算表!$A$8:$L$10000,12,0)</f>
        <v>990</v>
      </c>
      <c r="T63" s="175">
        <f t="shared" si="16"/>
        <v>0</v>
      </c>
      <c r="AD63" s="175">
        <f t="shared" si="18"/>
        <v>0</v>
      </c>
      <c r="AF63" s="175">
        <f t="shared" si="22"/>
        <v>0</v>
      </c>
    </row>
    <row r="64" ht="63" customHeight="1" spans="1:32">
      <c r="A64" s="191">
        <v>20808</v>
      </c>
      <c r="B64" s="192" t="s">
        <v>131</v>
      </c>
      <c r="C64" s="32">
        <f t="shared" si="0"/>
        <v>2414.97</v>
      </c>
      <c r="D64" s="21">
        <f t="shared" si="1"/>
        <v>37</v>
      </c>
      <c r="E64" s="190"/>
      <c r="F64" s="21">
        <v>37</v>
      </c>
      <c r="G64" s="21">
        <v>428.54</v>
      </c>
      <c r="H64" s="21">
        <v>1949.43</v>
      </c>
      <c r="I64" s="32">
        <f t="shared" si="2"/>
        <v>3453.65</v>
      </c>
      <c r="J64" s="21">
        <f t="shared" si="3"/>
        <v>386</v>
      </c>
      <c r="K64" s="190"/>
      <c r="L64" s="201">
        <v>386</v>
      </c>
      <c r="M64" s="190">
        <v>531.62</v>
      </c>
      <c r="N64" s="21">
        <f>2263.38+272.65</f>
        <v>2536.03</v>
      </c>
      <c r="O64" s="202">
        <f t="shared" si="4"/>
        <v>43.0100580959598</v>
      </c>
      <c r="P64" s="204" t="s">
        <v>329</v>
      </c>
      <c r="Q64" s="211">
        <f>VLOOKUP(A64,[2]表四一般公共预算支出预算表!$A$8:$L$10000,12,0)</f>
        <v>1297.47</v>
      </c>
      <c r="S64" s="175">
        <v>37</v>
      </c>
      <c r="T64" s="175">
        <f t="shared" si="16"/>
        <v>349</v>
      </c>
      <c r="AA64" s="216">
        <v>36</v>
      </c>
      <c r="AD64" s="175">
        <f t="shared" si="18"/>
        <v>0</v>
      </c>
      <c r="AE64" s="175">
        <v>386</v>
      </c>
      <c r="AF64" s="175">
        <f t="shared" si="22"/>
        <v>0</v>
      </c>
    </row>
    <row r="65" ht="84" customHeight="1" spans="1:32">
      <c r="A65" s="191">
        <v>20809</v>
      </c>
      <c r="B65" s="192" t="s">
        <v>132</v>
      </c>
      <c r="C65" s="32">
        <f t="shared" si="0"/>
        <v>187.67</v>
      </c>
      <c r="D65" s="21">
        <f t="shared" si="1"/>
        <v>60</v>
      </c>
      <c r="E65" s="190"/>
      <c r="F65" s="21">
        <v>60</v>
      </c>
      <c r="G65" s="21">
        <v>9.75</v>
      </c>
      <c r="H65" s="21">
        <v>117.92</v>
      </c>
      <c r="I65" s="32">
        <f t="shared" si="2"/>
        <v>203.71</v>
      </c>
      <c r="J65" s="21">
        <f t="shared" si="3"/>
        <v>50.2</v>
      </c>
      <c r="K65" s="190"/>
      <c r="L65" s="201">
        <v>50.2</v>
      </c>
      <c r="M65" s="190">
        <v>45.78</v>
      </c>
      <c r="N65" s="21">
        <f>90.03+17.7</f>
        <v>107.73</v>
      </c>
      <c r="O65" s="202">
        <f t="shared" si="4"/>
        <v>8.54691746150157</v>
      </c>
      <c r="P65" s="204" t="s">
        <v>330</v>
      </c>
      <c r="Q65" s="211">
        <f>VLOOKUP(A65,[2]表四一般公共预算支出预算表!$A$8:$L$10000,12,0)</f>
        <v>16.03</v>
      </c>
      <c r="S65" s="175">
        <v>60</v>
      </c>
      <c r="T65" s="175">
        <f t="shared" si="16"/>
        <v>-9.8</v>
      </c>
      <c r="AD65" s="175">
        <f t="shared" si="18"/>
        <v>0</v>
      </c>
      <c r="AE65" s="175">
        <v>50.2</v>
      </c>
      <c r="AF65" s="175">
        <f t="shared" si="22"/>
        <v>0</v>
      </c>
    </row>
    <row r="66" ht="108" customHeight="1" spans="1:32">
      <c r="A66" s="191">
        <v>20810</v>
      </c>
      <c r="B66" s="192" t="s">
        <v>133</v>
      </c>
      <c r="C66" s="32">
        <f t="shared" si="0"/>
        <v>7142.16</v>
      </c>
      <c r="D66" s="21">
        <f t="shared" si="1"/>
        <v>1098.14</v>
      </c>
      <c r="E66" s="190">
        <v>71.14</v>
      </c>
      <c r="F66" s="21">
        <v>1027</v>
      </c>
      <c r="G66" s="21">
        <v>6043.15</v>
      </c>
      <c r="H66" s="21">
        <v>0.87</v>
      </c>
      <c r="I66" s="32">
        <f t="shared" si="2"/>
        <v>1235.07</v>
      </c>
      <c r="J66" s="21">
        <f t="shared" si="3"/>
        <v>1058.09</v>
      </c>
      <c r="K66" s="190">
        <v>72.19</v>
      </c>
      <c r="L66" s="201">
        <v>985.9</v>
      </c>
      <c r="M66" s="190">
        <v>3.79</v>
      </c>
      <c r="N66" s="21">
        <f>1.19+40+132</f>
        <v>173.19</v>
      </c>
      <c r="O66" s="202">
        <f t="shared" si="4"/>
        <v>-82.7073322356262</v>
      </c>
      <c r="P66" s="204" t="s">
        <v>331</v>
      </c>
      <c r="Q66" s="211" t="e">
        <f>VLOOKUP(A66,[2]表四一般公共预算支出预算表!$A$8:$L$10000,12,0)</f>
        <v>#REF!</v>
      </c>
      <c r="S66" s="175">
        <v>1027</v>
      </c>
      <c r="T66" s="175">
        <f t="shared" si="16"/>
        <v>-41.1</v>
      </c>
      <c r="AC66" s="175">
        <f>VLOOKUP(A66,[4]Sheet3!$A$4:$C$66,3,0)</f>
        <v>72.189627</v>
      </c>
      <c r="AD66" s="175">
        <f t="shared" si="18"/>
        <v>-0.000372999999996182</v>
      </c>
      <c r="AE66" s="175">
        <v>985.9</v>
      </c>
      <c r="AF66" s="175">
        <f t="shared" si="22"/>
        <v>0</v>
      </c>
    </row>
    <row r="67" ht="133" customHeight="1" spans="1:32">
      <c r="A67" s="191">
        <v>20811</v>
      </c>
      <c r="B67" s="192" t="s">
        <v>134</v>
      </c>
      <c r="C67" s="32">
        <f t="shared" si="0"/>
        <v>1277.3</v>
      </c>
      <c r="D67" s="21">
        <f t="shared" si="1"/>
        <v>671.1</v>
      </c>
      <c r="E67" s="190">
        <v>88.15</v>
      </c>
      <c r="F67" s="21">
        <v>582.95</v>
      </c>
      <c r="G67" s="21">
        <f>352.24</f>
        <v>352.24</v>
      </c>
      <c r="H67" s="21">
        <v>253.96</v>
      </c>
      <c r="I67" s="32">
        <f t="shared" si="2"/>
        <v>1529.681</v>
      </c>
      <c r="J67" s="21">
        <f t="shared" si="3"/>
        <v>346.7</v>
      </c>
      <c r="K67" s="190">
        <v>125.27</v>
      </c>
      <c r="L67" s="201">
        <v>221.43</v>
      </c>
      <c r="M67" s="190">
        <v>429.65</v>
      </c>
      <c r="N67" s="21">
        <f>153.331+240+360</f>
        <v>753.331</v>
      </c>
      <c r="O67" s="202">
        <f t="shared" si="4"/>
        <v>19.7589446488687</v>
      </c>
      <c r="P67" s="204" t="s">
        <v>332</v>
      </c>
      <c r="Q67" s="211">
        <f>VLOOKUP(A67,[2]表四一般公共预算支出预算表!$A$8:$L$10000,12,0)</f>
        <v>41.29</v>
      </c>
      <c r="S67" s="212">
        <v>582.95</v>
      </c>
      <c r="T67" s="212">
        <f t="shared" si="16"/>
        <v>-361.52</v>
      </c>
      <c r="AA67" s="216">
        <v>426.432</v>
      </c>
      <c r="AC67" s="175">
        <f>VLOOKUP(A67,[4]Sheet3!$A$4:$C$66,3,0)</f>
        <v>125.266323</v>
      </c>
      <c r="AD67" s="175">
        <f t="shared" si="18"/>
        <v>-0.00367699999999616</v>
      </c>
      <c r="AE67" s="175">
        <v>221.43</v>
      </c>
      <c r="AF67" s="175">
        <f t="shared" si="22"/>
        <v>0</v>
      </c>
    </row>
    <row r="68" spans="1:32">
      <c r="A68" s="191">
        <v>20816</v>
      </c>
      <c r="B68" s="192" t="s">
        <v>333</v>
      </c>
      <c r="C68" s="32">
        <f t="shared" si="0"/>
        <v>52.98</v>
      </c>
      <c r="D68" s="21">
        <f t="shared" si="1"/>
        <v>52.98</v>
      </c>
      <c r="E68" s="190">
        <v>52.98</v>
      </c>
      <c r="F68" s="21"/>
      <c r="G68" s="21"/>
      <c r="H68" s="21"/>
      <c r="I68" s="32">
        <f t="shared" si="2"/>
        <v>60.2</v>
      </c>
      <c r="J68" s="21">
        <f t="shared" si="3"/>
        <v>60.2</v>
      </c>
      <c r="K68" s="190">
        <v>60.2</v>
      </c>
      <c r="L68" s="201"/>
      <c r="M68" s="190"/>
      <c r="N68" s="21"/>
      <c r="O68" s="202">
        <f t="shared" si="4"/>
        <v>13.6277840694602</v>
      </c>
      <c r="P68" s="204"/>
      <c r="Q68" s="211" t="e">
        <f>VLOOKUP(A68,[2]表四一般公共预算支出预算表!$A$8:$L$10000,12,0)</f>
        <v>#REF!</v>
      </c>
      <c r="T68" s="175">
        <f t="shared" si="16"/>
        <v>0</v>
      </c>
      <c r="AC68" s="175">
        <f>VLOOKUP(A68,[4]Sheet3!$A$4:$C$66,3,0)</f>
        <v>60.196027</v>
      </c>
      <c r="AD68" s="175">
        <f t="shared" si="18"/>
        <v>-0.003973000000002</v>
      </c>
      <c r="AF68" s="175">
        <f t="shared" si="22"/>
        <v>0</v>
      </c>
    </row>
    <row r="69" ht="39" customHeight="1" spans="1:32">
      <c r="A69" s="191">
        <v>20819</v>
      </c>
      <c r="B69" s="192" t="s">
        <v>136</v>
      </c>
      <c r="C69" s="32">
        <f t="shared" si="0"/>
        <v>338.76</v>
      </c>
      <c r="D69" s="21">
        <f t="shared" si="1"/>
        <v>320</v>
      </c>
      <c r="E69" s="190"/>
      <c r="F69" s="21">
        <v>320</v>
      </c>
      <c r="G69" s="21">
        <v>18.76</v>
      </c>
      <c r="H69" s="21"/>
      <c r="I69" s="32">
        <f t="shared" si="2"/>
        <v>3839.16</v>
      </c>
      <c r="J69" s="21">
        <f t="shared" si="3"/>
        <v>370</v>
      </c>
      <c r="K69" s="190"/>
      <c r="L69" s="201">
        <v>370</v>
      </c>
      <c r="M69" s="190">
        <v>39.16</v>
      </c>
      <c r="N69" s="21">
        <v>3430</v>
      </c>
      <c r="O69" s="202">
        <f t="shared" si="4"/>
        <v>1033.2979100248</v>
      </c>
      <c r="P69" s="204" t="s">
        <v>334</v>
      </c>
      <c r="Q69" s="211">
        <f>VLOOKUP(A69,[2]表四一般公共预算支出预算表!$A$8:$L$10000,12,0)</f>
        <v>6075.1</v>
      </c>
      <c r="S69" s="175">
        <f>VLOOKUP(A69,[3]Sheet1!$A$4:$C$61,3,0)</f>
        <v>320</v>
      </c>
      <c r="T69" s="175">
        <f t="shared" si="16"/>
        <v>50</v>
      </c>
      <c r="AD69" s="175">
        <f t="shared" si="18"/>
        <v>0</v>
      </c>
      <c r="AE69" s="175">
        <v>370</v>
      </c>
      <c r="AF69" s="175">
        <f t="shared" si="22"/>
        <v>0</v>
      </c>
    </row>
    <row r="70" ht="39" customHeight="1" spans="1:32">
      <c r="A70" s="191">
        <v>20820</v>
      </c>
      <c r="B70" s="192" t="s">
        <v>137</v>
      </c>
      <c r="C70" s="32">
        <f t="shared" ref="C70:C88" si="23">E70+F70+G70+H70</f>
        <v>108.84</v>
      </c>
      <c r="D70" s="21">
        <f t="shared" ref="D70:D87" si="24">E70+F70</f>
        <v>58</v>
      </c>
      <c r="E70" s="190"/>
      <c r="F70" s="21">
        <v>58</v>
      </c>
      <c r="G70" s="21">
        <f>6.84+44</f>
        <v>50.84</v>
      </c>
      <c r="H70" s="21"/>
      <c r="I70" s="32">
        <f t="shared" ref="I70:I81" si="25">K70+L70+M70+N70</f>
        <v>178.4</v>
      </c>
      <c r="J70" s="21">
        <f t="shared" ref="J70:J81" si="26">K70+L70</f>
        <v>104</v>
      </c>
      <c r="K70" s="190"/>
      <c r="L70" s="201">
        <v>104</v>
      </c>
      <c r="M70" s="190">
        <v>7.4</v>
      </c>
      <c r="N70" s="21">
        <v>67</v>
      </c>
      <c r="O70" s="202">
        <f t="shared" ref="O70:O81" si="27">IFERROR((I70-C70)/C70*100,0)</f>
        <v>63.9103270856303</v>
      </c>
      <c r="P70" s="204" t="s">
        <v>335</v>
      </c>
      <c r="Q70" s="211" t="e">
        <f>VLOOKUP(A70,[2]表四一般公共预算支出预算表!$A$8:$L$10000,12,0)</f>
        <v>#REF!</v>
      </c>
      <c r="S70" s="175">
        <f>VLOOKUP(A70,[3]Sheet1!$A$4:$C$61,3,0)</f>
        <v>58</v>
      </c>
      <c r="T70" s="175">
        <f t="shared" si="16"/>
        <v>46</v>
      </c>
      <c r="AD70" s="175">
        <f t="shared" si="18"/>
        <v>0</v>
      </c>
      <c r="AE70" s="175">
        <v>104</v>
      </c>
      <c r="AF70" s="175">
        <f t="shared" si="22"/>
        <v>0</v>
      </c>
    </row>
    <row r="71" ht="39" customHeight="1" spans="1:32">
      <c r="A71" s="191">
        <v>20821</v>
      </c>
      <c r="B71" s="192" t="s">
        <v>138</v>
      </c>
      <c r="C71" s="32">
        <f t="shared" si="23"/>
        <v>5247.26</v>
      </c>
      <c r="D71" s="21">
        <f t="shared" si="24"/>
        <v>310</v>
      </c>
      <c r="E71" s="190"/>
      <c r="F71" s="21">
        <v>310</v>
      </c>
      <c r="G71" s="21">
        <v>5.26</v>
      </c>
      <c r="H71" s="21">
        <v>4932</v>
      </c>
      <c r="I71" s="32">
        <f t="shared" si="25"/>
        <v>1340</v>
      </c>
      <c r="J71" s="21">
        <f t="shared" si="26"/>
        <v>310</v>
      </c>
      <c r="K71" s="190"/>
      <c r="L71" s="201">
        <v>310</v>
      </c>
      <c r="M71" s="190"/>
      <c r="N71" s="21">
        <v>1030</v>
      </c>
      <c r="O71" s="202">
        <f t="shared" si="27"/>
        <v>-74.4628625225356</v>
      </c>
      <c r="P71" s="204" t="s">
        <v>336</v>
      </c>
      <c r="Q71" s="211" t="e">
        <f>VLOOKUP(A71,[2]表四一般公共预算支出预算表!$A$8:$L$10000,12,0)</f>
        <v>#REF!</v>
      </c>
      <c r="S71" s="175">
        <f>VLOOKUP(A71,[3]Sheet1!$A$4:$C$61,3,0)</f>
        <v>310</v>
      </c>
      <c r="T71" s="175">
        <f t="shared" si="16"/>
        <v>0</v>
      </c>
      <c r="AD71" s="175">
        <f t="shared" si="18"/>
        <v>0</v>
      </c>
      <c r="AE71" s="175">
        <v>310</v>
      </c>
      <c r="AF71" s="175">
        <f t="shared" si="22"/>
        <v>0</v>
      </c>
    </row>
    <row r="72" ht="39" customHeight="1" spans="1:32">
      <c r="A72" s="191">
        <v>20825</v>
      </c>
      <c r="B72" s="192" t="s">
        <v>139</v>
      </c>
      <c r="C72" s="32">
        <f t="shared" si="23"/>
        <v>4</v>
      </c>
      <c r="D72" s="21">
        <f t="shared" si="24"/>
        <v>3</v>
      </c>
      <c r="E72" s="190"/>
      <c r="F72" s="21">
        <v>3</v>
      </c>
      <c r="G72" s="21">
        <v>1</v>
      </c>
      <c r="H72" s="21"/>
      <c r="I72" s="32">
        <f t="shared" si="25"/>
        <v>3</v>
      </c>
      <c r="J72" s="21">
        <f t="shared" si="26"/>
        <v>3</v>
      </c>
      <c r="K72" s="190"/>
      <c r="L72" s="201">
        <v>3</v>
      </c>
      <c r="M72" s="190"/>
      <c r="N72" s="21"/>
      <c r="O72" s="202">
        <f t="shared" si="27"/>
        <v>-25</v>
      </c>
      <c r="P72" s="204" t="s">
        <v>337</v>
      </c>
      <c r="Q72" s="211" t="e">
        <f>VLOOKUP(A72,[2]表四一般公共预算支出预算表!$A$8:$L$10000,12,0)</f>
        <v>#REF!</v>
      </c>
      <c r="S72" s="175">
        <f>VLOOKUP(A72,[3]Sheet1!$A$4:$C$61,3,0)</f>
        <v>3</v>
      </c>
      <c r="T72" s="175">
        <f t="shared" si="16"/>
        <v>0</v>
      </c>
      <c r="AD72" s="175">
        <f t="shared" si="18"/>
        <v>0</v>
      </c>
      <c r="AE72" s="175">
        <v>3</v>
      </c>
      <c r="AF72" s="175">
        <f t="shared" si="22"/>
        <v>0</v>
      </c>
    </row>
    <row r="73" ht="39" customHeight="1" spans="1:32">
      <c r="A73" s="191">
        <v>20826</v>
      </c>
      <c r="B73" s="192" t="s">
        <v>140</v>
      </c>
      <c r="C73" s="32">
        <f t="shared" si="23"/>
        <v>12824.08</v>
      </c>
      <c r="D73" s="21">
        <f t="shared" si="24"/>
        <v>535</v>
      </c>
      <c r="E73" s="190"/>
      <c r="F73" s="21">
        <v>535</v>
      </c>
      <c r="G73" s="21">
        <v>3743.08</v>
      </c>
      <c r="H73" s="21">
        <v>8546</v>
      </c>
      <c r="I73" s="32">
        <f t="shared" si="25"/>
        <v>16925.82</v>
      </c>
      <c r="J73" s="21">
        <f t="shared" si="26"/>
        <v>563.6</v>
      </c>
      <c r="K73" s="190"/>
      <c r="L73" s="201">
        <v>563.6</v>
      </c>
      <c r="M73" s="190">
        <v>8578.22</v>
      </c>
      <c r="N73" s="21">
        <v>7784</v>
      </c>
      <c r="O73" s="202">
        <f t="shared" si="27"/>
        <v>31.9846725847</v>
      </c>
      <c r="P73" s="204" t="s">
        <v>338</v>
      </c>
      <c r="Q73" s="211">
        <f>VLOOKUP(A73,[2]表四一般公共预算支出预算表!$A$8:$L$10000,12,0)</f>
        <v>6349</v>
      </c>
      <c r="S73" s="175">
        <f>VLOOKUP(A73,[3]Sheet1!$A$4:$C$61,3,0)</f>
        <v>535</v>
      </c>
      <c r="T73" s="175">
        <f t="shared" si="16"/>
        <v>28.6</v>
      </c>
      <c r="AD73" s="175">
        <f t="shared" si="18"/>
        <v>0</v>
      </c>
      <c r="AE73" s="175">
        <v>563.6</v>
      </c>
      <c r="AF73" s="175">
        <f t="shared" si="22"/>
        <v>0</v>
      </c>
    </row>
    <row r="74" ht="51" customHeight="1" spans="1:32">
      <c r="A74" s="191">
        <v>20828</v>
      </c>
      <c r="B74" s="192" t="s">
        <v>141</v>
      </c>
      <c r="C74" s="32">
        <f t="shared" si="23"/>
        <v>871</v>
      </c>
      <c r="D74" s="21">
        <f t="shared" si="24"/>
        <v>871</v>
      </c>
      <c r="E74" s="190">
        <v>311</v>
      </c>
      <c r="F74" s="21">
        <v>560</v>
      </c>
      <c r="G74" s="21"/>
      <c r="H74" s="21"/>
      <c r="I74" s="32">
        <f t="shared" si="25"/>
        <v>612.31</v>
      </c>
      <c r="J74" s="21">
        <f t="shared" si="26"/>
        <v>612.31</v>
      </c>
      <c r="K74" s="190">
        <v>402.31</v>
      </c>
      <c r="L74" s="201">
        <v>210</v>
      </c>
      <c r="M74" s="190"/>
      <c r="N74" s="21"/>
      <c r="O74" s="202">
        <f t="shared" si="27"/>
        <v>-29.7003444316877</v>
      </c>
      <c r="P74" s="204" t="s">
        <v>339</v>
      </c>
      <c r="Q74" s="211" t="e">
        <f>VLOOKUP(A74,[2]表四一般公共预算支出预算表!$A$8:$L$10000,12,0)</f>
        <v>#REF!</v>
      </c>
      <c r="S74" s="175">
        <f>VLOOKUP(A74,[3]Sheet1!$A$4:$C$61,3,0)</f>
        <v>560</v>
      </c>
      <c r="T74" s="175">
        <f t="shared" si="16"/>
        <v>-350</v>
      </c>
      <c r="AA74" s="216">
        <v>560</v>
      </c>
      <c r="AC74" s="175">
        <f>VLOOKUP(A74,[4]Sheet3!$A$4:$C$66,3,0)</f>
        <v>402.31172</v>
      </c>
      <c r="AD74" s="175">
        <f t="shared" si="18"/>
        <v>0.00171999999997752</v>
      </c>
      <c r="AE74" s="175">
        <v>210</v>
      </c>
      <c r="AF74" s="175">
        <f t="shared" si="22"/>
        <v>0</v>
      </c>
    </row>
    <row r="75" ht="118" customHeight="1" spans="1:32">
      <c r="A75" s="191">
        <v>20830</v>
      </c>
      <c r="B75" s="192" t="s">
        <v>142</v>
      </c>
      <c r="C75" s="32">
        <f t="shared" si="23"/>
        <v>606.99</v>
      </c>
      <c r="D75" s="21">
        <f t="shared" si="24"/>
        <v>537.75</v>
      </c>
      <c r="E75" s="190"/>
      <c r="F75" s="21">
        <v>537.75</v>
      </c>
      <c r="G75" s="21">
        <f>25+16.49+27.75</f>
        <v>69.24</v>
      </c>
      <c r="H75" s="21"/>
      <c r="I75" s="32">
        <f t="shared" si="25"/>
        <v>1549.71</v>
      </c>
      <c r="J75" s="21">
        <f t="shared" si="26"/>
        <v>1536.15</v>
      </c>
      <c r="K75" s="190"/>
      <c r="L75" s="201">
        <f>560.15+976</f>
        <v>1536.15</v>
      </c>
      <c r="M75" s="190">
        <v>13.56</v>
      </c>
      <c r="N75" s="21"/>
      <c r="O75" s="202">
        <f t="shared" si="27"/>
        <v>155.310631147136</v>
      </c>
      <c r="P75" s="204" t="s">
        <v>340</v>
      </c>
      <c r="Q75" s="211">
        <f>VLOOKUP(A75,[2]表四一般公共预算支出预算表!$A$8:$L$10000,12,0)</f>
        <v>75.88</v>
      </c>
      <c r="S75" s="212">
        <v>537.75</v>
      </c>
      <c r="T75" s="212">
        <f t="shared" si="16"/>
        <v>998.4</v>
      </c>
      <c r="AA75" s="216">
        <f>918.7541-563.6</f>
        <v>355.1541</v>
      </c>
      <c r="AD75" s="175">
        <f t="shared" si="18"/>
        <v>0</v>
      </c>
      <c r="AE75" s="175">
        <v>1536.15</v>
      </c>
      <c r="AF75" s="175">
        <f t="shared" si="22"/>
        <v>0</v>
      </c>
    </row>
    <row r="76" ht="34" customHeight="1" spans="1:32">
      <c r="A76" s="191">
        <v>20899</v>
      </c>
      <c r="B76" s="192" t="s">
        <v>143</v>
      </c>
      <c r="C76" s="32">
        <f t="shared" si="23"/>
        <v>363.72</v>
      </c>
      <c r="D76" s="21">
        <f t="shared" si="24"/>
        <v>60</v>
      </c>
      <c r="E76" s="190"/>
      <c r="F76" s="21">
        <v>60</v>
      </c>
      <c r="G76" s="21">
        <f>303.07+0.65</f>
        <v>303.72</v>
      </c>
      <c r="H76" s="21"/>
      <c r="I76" s="32">
        <f t="shared" si="25"/>
        <v>300.99</v>
      </c>
      <c r="J76" s="21">
        <f t="shared" si="26"/>
        <v>48</v>
      </c>
      <c r="K76" s="190"/>
      <c r="L76" s="201">
        <v>48</v>
      </c>
      <c r="M76" s="190">
        <v>252.99</v>
      </c>
      <c r="N76" s="21"/>
      <c r="O76" s="202">
        <f t="shared" si="27"/>
        <v>-17.2467832398548</v>
      </c>
      <c r="P76" s="204" t="s">
        <v>341</v>
      </c>
      <c r="Q76" s="211" t="e">
        <f>VLOOKUP(A76,[2]表四一般公共预算支出预算表!$A$8:$L$10000,12,0)</f>
        <v>#REF!</v>
      </c>
      <c r="S76" s="175">
        <f>VLOOKUP(A76,[3]Sheet1!$A$4:$C$61,3,0)</f>
        <v>60</v>
      </c>
      <c r="T76" s="175">
        <f t="shared" si="16"/>
        <v>-12</v>
      </c>
      <c r="AD76" s="175">
        <f t="shared" si="18"/>
        <v>0</v>
      </c>
      <c r="AE76" s="175">
        <v>48</v>
      </c>
      <c r="AF76" s="175">
        <f t="shared" si="22"/>
        <v>0</v>
      </c>
    </row>
    <row r="77" s="166" customFormat="1" ht="28.95" customHeight="1" spans="1:30">
      <c r="A77" s="189" t="s">
        <v>144</v>
      </c>
      <c r="B77" s="188" t="s">
        <v>145</v>
      </c>
      <c r="C77" s="32">
        <f t="shared" si="23"/>
        <v>22876.39</v>
      </c>
      <c r="D77" s="32">
        <f t="shared" si="24"/>
        <v>18403.96</v>
      </c>
      <c r="E77" s="190">
        <f>SUM(E78:E89)</f>
        <v>11886.45</v>
      </c>
      <c r="F77" s="190">
        <f t="shared" ref="F77:N77" si="28">SUM(F78:F89)</f>
        <v>6517.51</v>
      </c>
      <c r="G77" s="21">
        <f t="shared" si="28"/>
        <v>2104.89</v>
      </c>
      <c r="H77" s="21">
        <f t="shared" si="28"/>
        <v>2367.54</v>
      </c>
      <c r="I77" s="32">
        <f t="shared" si="25"/>
        <v>31914.72</v>
      </c>
      <c r="J77" s="32">
        <f t="shared" si="26"/>
        <v>18776.89</v>
      </c>
      <c r="K77" s="190">
        <f t="shared" si="28"/>
        <v>16260.88</v>
      </c>
      <c r="L77" s="190">
        <f t="shared" si="28"/>
        <v>2516.01</v>
      </c>
      <c r="M77" s="21">
        <f t="shared" si="28"/>
        <v>6529.4</v>
      </c>
      <c r="N77" s="21">
        <f t="shared" si="28"/>
        <v>6608.43</v>
      </c>
      <c r="O77" s="202">
        <f t="shared" si="27"/>
        <v>39.5094243453622</v>
      </c>
      <c r="P77" s="200"/>
      <c r="Q77" s="211"/>
      <c r="R77" s="175"/>
      <c r="S77" s="212"/>
      <c r="T77" s="212">
        <f t="shared" si="16"/>
        <v>2516.01</v>
      </c>
      <c r="U77" s="210"/>
      <c r="Y77" s="213"/>
      <c r="Z77" s="213"/>
      <c r="AA77" s="214"/>
      <c r="AC77" s="175"/>
      <c r="AD77" s="175">
        <f t="shared" si="18"/>
        <v>-16260.88</v>
      </c>
    </row>
    <row r="78" spans="1:32">
      <c r="A78" s="191">
        <v>21001</v>
      </c>
      <c r="B78" s="192" t="s">
        <v>146</v>
      </c>
      <c r="C78" s="32">
        <f t="shared" si="23"/>
        <v>517.01</v>
      </c>
      <c r="D78" s="21">
        <f t="shared" si="24"/>
        <v>517.01</v>
      </c>
      <c r="E78" s="190">
        <v>517.01</v>
      </c>
      <c r="F78" s="21"/>
      <c r="G78" s="21"/>
      <c r="H78" s="21"/>
      <c r="I78" s="32">
        <f t="shared" si="25"/>
        <v>514.5</v>
      </c>
      <c r="J78" s="21">
        <f t="shared" si="26"/>
        <v>514.5</v>
      </c>
      <c r="K78" s="190">
        <v>514.5</v>
      </c>
      <c r="L78" s="201"/>
      <c r="M78" s="190"/>
      <c r="N78" s="21"/>
      <c r="O78" s="202">
        <f t="shared" si="27"/>
        <v>-0.485483839770989</v>
      </c>
      <c r="P78" s="204"/>
      <c r="Q78" s="211" t="e">
        <f>VLOOKUP(A78,[2]表四一般公共预算支出预算表!$A$8:$L$10000,12,0)</f>
        <v>#REF!</v>
      </c>
      <c r="T78" s="175">
        <f t="shared" si="16"/>
        <v>0</v>
      </c>
      <c r="AC78" s="175">
        <f>VLOOKUP(A78,[4]Sheet3!$A$4:$C$66,3,0)</f>
        <v>514.50126</v>
      </c>
      <c r="AD78" s="175">
        <f t="shared" ref="AD78:AD109" si="29">AC78-K78</f>
        <v>0.00126000000000204</v>
      </c>
      <c r="AF78" s="175">
        <f t="shared" ref="AF78:AF89" si="30">+L78-AE78</f>
        <v>0</v>
      </c>
    </row>
    <row r="79" ht="50" customHeight="1" spans="1:32">
      <c r="A79" s="191">
        <v>21002</v>
      </c>
      <c r="B79" s="194" t="s">
        <v>147</v>
      </c>
      <c r="C79" s="32">
        <f t="shared" si="23"/>
        <v>1448.94</v>
      </c>
      <c r="D79" s="21">
        <f t="shared" si="24"/>
        <v>1338.43</v>
      </c>
      <c r="E79" s="190">
        <v>830.46</v>
      </c>
      <c r="F79" s="21">
        <v>507.97</v>
      </c>
      <c r="G79" s="21">
        <v>110.51</v>
      </c>
      <c r="H79" s="21"/>
      <c r="I79" s="32">
        <f t="shared" si="25"/>
        <v>1073.54</v>
      </c>
      <c r="J79" s="21">
        <f t="shared" si="26"/>
        <v>853.81</v>
      </c>
      <c r="K79" s="190">
        <v>832.72</v>
      </c>
      <c r="L79" s="201">
        <v>21.09</v>
      </c>
      <c r="M79" s="190">
        <v>135.56</v>
      </c>
      <c r="N79" s="21">
        <v>84.17</v>
      </c>
      <c r="O79" s="202">
        <f t="shared" si="27"/>
        <v>-25.9085952489406</v>
      </c>
      <c r="P79" s="204" t="s">
        <v>342</v>
      </c>
      <c r="Q79" s="211">
        <f>VLOOKUP(A79,[2]表四一般公共预算支出预算表!$A$8:$L$10000,12,0)</f>
        <v>754.15</v>
      </c>
      <c r="S79" s="212">
        <v>507.97</v>
      </c>
      <c r="T79" s="212">
        <f t="shared" si="16"/>
        <v>-486.88</v>
      </c>
      <c r="AC79" s="175">
        <f>VLOOKUP(A79,[4]Sheet3!$A$4:$C$66,3,0)</f>
        <v>832.721754</v>
      </c>
      <c r="AD79" s="175">
        <f t="shared" si="29"/>
        <v>0.00175400000000536</v>
      </c>
      <c r="AE79" s="175">
        <v>21.09</v>
      </c>
      <c r="AF79" s="175">
        <f t="shared" si="30"/>
        <v>0</v>
      </c>
    </row>
    <row r="80" ht="78" customHeight="1" spans="1:32">
      <c r="A80" s="191">
        <v>21003</v>
      </c>
      <c r="B80" s="194" t="s">
        <v>148</v>
      </c>
      <c r="C80" s="32">
        <f t="shared" si="23"/>
        <v>3868.6</v>
      </c>
      <c r="D80" s="21">
        <f t="shared" si="24"/>
        <v>3544.23</v>
      </c>
      <c r="E80" s="190">
        <v>2969.64</v>
      </c>
      <c r="F80" s="21">
        <v>574.59</v>
      </c>
      <c r="G80" s="21">
        <v>88.42</v>
      </c>
      <c r="H80" s="21">
        <v>235.95</v>
      </c>
      <c r="I80" s="32">
        <f t="shared" si="25"/>
        <v>4634.8</v>
      </c>
      <c r="J80" s="21">
        <f t="shared" si="26"/>
        <v>3492.5</v>
      </c>
      <c r="K80" s="190">
        <v>2969.48</v>
      </c>
      <c r="L80" s="201">
        <v>523.02</v>
      </c>
      <c r="M80" s="190">
        <v>246.18</v>
      </c>
      <c r="N80" s="21">
        <f>100+796.12</f>
        <v>896.12</v>
      </c>
      <c r="O80" s="202">
        <f t="shared" si="27"/>
        <v>19.8056144341622</v>
      </c>
      <c r="P80" s="204" t="s">
        <v>343</v>
      </c>
      <c r="Q80" s="211">
        <f>VLOOKUP(A80,[2]表四一般公共预算支出预算表!$A$8:$L$10000,12,0)</f>
        <v>630.18</v>
      </c>
      <c r="S80" s="212">
        <v>329.53</v>
      </c>
      <c r="T80" s="212">
        <f t="shared" si="16"/>
        <v>193.49</v>
      </c>
      <c r="U80" s="207" t="s">
        <v>344</v>
      </c>
      <c r="AC80" s="175">
        <f>VLOOKUP(A80,[4]Sheet3!$A$4:$C$66,3,0)</f>
        <v>2969.48076</v>
      </c>
      <c r="AD80" s="175">
        <f t="shared" si="29"/>
        <v>0.000759999999900174</v>
      </c>
      <c r="AE80" s="175">
        <v>523.02</v>
      </c>
      <c r="AF80" s="175">
        <f t="shared" si="30"/>
        <v>0</v>
      </c>
    </row>
    <row r="81" ht="267" customHeight="1" spans="1:32">
      <c r="A81" s="191">
        <v>21004</v>
      </c>
      <c r="B81" s="194" t="s">
        <v>149</v>
      </c>
      <c r="C81" s="32">
        <f t="shared" si="23"/>
        <v>4019.24</v>
      </c>
      <c r="D81" s="21">
        <f t="shared" si="24"/>
        <v>2542.38</v>
      </c>
      <c r="E81" s="190">
        <v>1424.59</v>
      </c>
      <c r="F81" s="21">
        <f>1117.8-0.01</f>
        <v>1117.79</v>
      </c>
      <c r="G81" s="21">
        <f>969.2+220</f>
        <v>1189.2</v>
      </c>
      <c r="H81" s="21">
        <v>287.66</v>
      </c>
      <c r="I81" s="32">
        <f t="shared" si="25"/>
        <v>11080.93</v>
      </c>
      <c r="J81" s="21">
        <f t="shared" si="26"/>
        <v>2523.25</v>
      </c>
      <c r="K81" s="190">
        <v>1539.22</v>
      </c>
      <c r="L81" s="201">
        <v>984.03</v>
      </c>
      <c r="M81" s="190">
        <v>4634.58</v>
      </c>
      <c r="N81" s="21">
        <f>3826.26+96.84</f>
        <v>3923.1</v>
      </c>
      <c r="O81" s="202">
        <f t="shared" si="27"/>
        <v>175.697146724256</v>
      </c>
      <c r="P81" s="204" t="s">
        <v>345</v>
      </c>
      <c r="Q81" s="211">
        <f>VLOOKUP(A81,[2]表四一般公共预算支出预算表!$A$8:$L$10000,12,0)</f>
        <v>3650.86</v>
      </c>
      <c r="S81" s="212">
        <v>1117.8</v>
      </c>
      <c r="T81" s="212">
        <f t="shared" si="16"/>
        <v>-133.77</v>
      </c>
      <c r="AC81" s="175">
        <f>VLOOKUP(A81,[4]Sheet3!$A$4:$C$66,3,0)</f>
        <v>1539.220302</v>
      </c>
      <c r="AD81" s="175">
        <f t="shared" si="29"/>
        <v>0.000301999999919644</v>
      </c>
      <c r="AE81" s="175">
        <v>984.03</v>
      </c>
      <c r="AF81" s="175">
        <f t="shared" si="30"/>
        <v>0</v>
      </c>
    </row>
    <row r="82" ht="40" customHeight="1" spans="1:32">
      <c r="A82" s="191">
        <v>21007</v>
      </c>
      <c r="B82" s="192" t="s">
        <v>151</v>
      </c>
      <c r="C82" s="32">
        <f t="shared" si="23"/>
        <v>2693.34</v>
      </c>
      <c r="D82" s="21">
        <f t="shared" si="24"/>
        <v>2055.96</v>
      </c>
      <c r="E82" s="190">
        <v>755.96</v>
      </c>
      <c r="F82" s="21">
        <v>1300</v>
      </c>
      <c r="G82" s="21">
        <v>11.38</v>
      </c>
      <c r="H82" s="21">
        <v>626</v>
      </c>
      <c r="I82" s="32">
        <f t="shared" ref="I82:I132" si="31">K82+L82+M82+N82</f>
        <v>2240.54</v>
      </c>
      <c r="J82" s="21">
        <f t="shared" ref="J82:J132" si="32">K82+L82</f>
        <v>1205.65</v>
      </c>
      <c r="K82" s="190">
        <v>876.65</v>
      </c>
      <c r="L82" s="201">
        <f>1305-976</f>
        <v>329</v>
      </c>
      <c r="M82" s="190">
        <v>155.36</v>
      </c>
      <c r="N82" s="21">
        <f>132.36+747.17</f>
        <v>879.53</v>
      </c>
      <c r="O82" s="202">
        <f t="shared" ref="O82:O132" si="33">IFERROR((I82-C82)/C82*100,0)</f>
        <v>-16.8118395746545</v>
      </c>
      <c r="P82" s="204" t="s">
        <v>346</v>
      </c>
      <c r="Q82" s="211">
        <f>VLOOKUP(A82,[2]表四一般公共预算支出预算表!$A$8:$L$10000,12,0)</f>
        <v>473</v>
      </c>
      <c r="S82" s="175">
        <f>VLOOKUP(A82,[3]Sheet1!$A$4:$C$61,3,0)</f>
        <v>1300</v>
      </c>
      <c r="T82" s="175">
        <f t="shared" si="16"/>
        <v>-971</v>
      </c>
      <c r="AC82" s="175">
        <f>VLOOKUP(A82,[4]Sheet3!$A$4:$C$66,3,0)</f>
        <v>876.652349</v>
      </c>
      <c r="AD82" s="175">
        <f t="shared" si="29"/>
        <v>0.00234899999998106</v>
      </c>
      <c r="AE82" s="175">
        <v>329</v>
      </c>
      <c r="AF82" s="175">
        <f t="shared" si="30"/>
        <v>0</v>
      </c>
    </row>
    <row r="83" spans="1:32">
      <c r="A83" s="191">
        <v>21011</v>
      </c>
      <c r="B83" s="194" t="s">
        <v>152</v>
      </c>
      <c r="C83" s="32">
        <f t="shared" si="23"/>
        <v>6587.91</v>
      </c>
      <c r="D83" s="21">
        <f t="shared" si="24"/>
        <v>6587.91</v>
      </c>
      <c r="E83" s="190">
        <v>4987.91</v>
      </c>
      <c r="F83" s="21">
        <v>1600</v>
      </c>
      <c r="G83" s="21"/>
      <c r="H83" s="21"/>
      <c r="I83" s="32">
        <f t="shared" si="31"/>
        <v>9039.49</v>
      </c>
      <c r="J83" s="21">
        <f t="shared" si="32"/>
        <v>9039.49</v>
      </c>
      <c r="K83" s="190">
        <f>5939.49+1600+1500</f>
        <v>9039.49</v>
      </c>
      <c r="L83" s="201"/>
      <c r="M83" s="190"/>
      <c r="N83" s="21"/>
      <c r="O83" s="202">
        <f t="shared" si="33"/>
        <v>37.21331955051</v>
      </c>
      <c r="P83" s="204"/>
      <c r="Q83" s="211" t="e">
        <f>VLOOKUP(A83,[2]表四一般公共预算支出预算表!$A$8:$L$10000,12,0)</f>
        <v>#REF!</v>
      </c>
      <c r="S83" s="175">
        <f>VLOOKUP(A83,[3]Sheet1!$A$4:$C$61,3,0)</f>
        <v>1600</v>
      </c>
      <c r="T83" s="175">
        <f t="shared" si="16"/>
        <v>-1600</v>
      </c>
      <c r="AC83" s="175">
        <f>VLOOKUP(A83,[4]Sheet3!$A$4:$C$66,3,0)</f>
        <v>5937.964406</v>
      </c>
      <c r="AD83" s="175">
        <f t="shared" si="29"/>
        <v>-3101.525594</v>
      </c>
      <c r="AF83" s="175">
        <f t="shared" si="30"/>
        <v>0</v>
      </c>
    </row>
    <row r="84" ht="21" customHeight="1" spans="1:32">
      <c r="A84" s="191">
        <v>21012</v>
      </c>
      <c r="B84" s="194" t="s">
        <v>153</v>
      </c>
      <c r="C84" s="32">
        <f t="shared" si="23"/>
        <v>0</v>
      </c>
      <c r="D84" s="21">
        <f t="shared" si="24"/>
        <v>0</v>
      </c>
      <c r="E84" s="190"/>
      <c r="F84" s="21"/>
      <c r="G84" s="21"/>
      <c r="H84" s="21"/>
      <c r="I84" s="32">
        <f t="shared" si="31"/>
        <v>0</v>
      </c>
      <c r="J84" s="21">
        <f t="shared" si="32"/>
        <v>0</v>
      </c>
      <c r="K84" s="190"/>
      <c r="L84" s="201"/>
      <c r="M84" s="190"/>
      <c r="N84" s="21"/>
      <c r="O84" s="202">
        <f t="shared" si="33"/>
        <v>0</v>
      </c>
      <c r="P84" s="204"/>
      <c r="Q84" s="211" t="e">
        <f>VLOOKUP(A84,[2]表四一般公共预算支出预算表!$A$8:$L$10000,12,0)</f>
        <v>#REF!</v>
      </c>
      <c r="T84" s="175">
        <f t="shared" si="16"/>
        <v>0</v>
      </c>
      <c r="AD84" s="175">
        <f t="shared" si="29"/>
        <v>0</v>
      </c>
      <c r="AF84" s="175">
        <f t="shared" si="30"/>
        <v>0</v>
      </c>
    </row>
    <row r="85" ht="70" customHeight="1" spans="1:32">
      <c r="A85" s="191">
        <v>21013</v>
      </c>
      <c r="B85" s="194" t="s">
        <v>154</v>
      </c>
      <c r="C85" s="32">
        <f t="shared" si="23"/>
        <v>2815.16</v>
      </c>
      <c r="D85" s="21">
        <f t="shared" si="24"/>
        <v>1237.16</v>
      </c>
      <c r="E85" s="190"/>
      <c r="F85" s="21">
        <v>1237.16</v>
      </c>
      <c r="G85" s="21">
        <f>449+7</f>
        <v>456</v>
      </c>
      <c r="H85" s="21">
        <v>1122</v>
      </c>
      <c r="I85" s="32">
        <f t="shared" si="31"/>
        <v>1889.87</v>
      </c>
      <c r="J85" s="21">
        <f t="shared" si="32"/>
        <v>658.87</v>
      </c>
      <c r="K85" s="190"/>
      <c r="L85" s="201">
        <v>658.87</v>
      </c>
      <c r="M85" s="190">
        <v>666</v>
      </c>
      <c r="N85" s="21">
        <f>480+85</f>
        <v>565</v>
      </c>
      <c r="O85" s="202">
        <f t="shared" si="33"/>
        <v>-32.8681140681169</v>
      </c>
      <c r="P85" s="204" t="s">
        <v>347</v>
      </c>
      <c r="Q85" s="211">
        <f>VLOOKUP(A85,[2]表四一般公共预算支出预算表!$A$8:$L$10000,12,0)</f>
        <v>931</v>
      </c>
      <c r="S85" s="212">
        <f>VLOOKUP(A85,[3]Sheet1!$A$4:$C$61,3,0)</f>
        <v>1237.158</v>
      </c>
      <c r="T85" s="212">
        <f t="shared" si="16"/>
        <v>-578.288</v>
      </c>
      <c r="AA85" s="219"/>
      <c r="AD85" s="175">
        <f t="shared" si="29"/>
        <v>0</v>
      </c>
      <c r="AE85" s="175">
        <v>658.87</v>
      </c>
      <c r="AF85" s="175">
        <f t="shared" si="30"/>
        <v>0</v>
      </c>
    </row>
    <row r="86" spans="1:32">
      <c r="A86" s="191">
        <v>21014</v>
      </c>
      <c r="B86" s="194" t="s">
        <v>155</v>
      </c>
      <c r="C86" s="32">
        <f t="shared" si="23"/>
        <v>275.93</v>
      </c>
      <c r="D86" s="21">
        <f t="shared" si="24"/>
        <v>180</v>
      </c>
      <c r="E86" s="190"/>
      <c r="F86" s="21">
        <v>180</v>
      </c>
      <c r="G86" s="21"/>
      <c r="H86" s="21">
        <v>95.93</v>
      </c>
      <c r="I86" s="32">
        <f t="shared" si="31"/>
        <v>106.37</v>
      </c>
      <c r="J86" s="21">
        <f t="shared" si="32"/>
        <v>0</v>
      </c>
      <c r="K86" s="190"/>
      <c r="L86" s="201"/>
      <c r="M86" s="190">
        <v>1.86</v>
      </c>
      <c r="N86" s="21">
        <v>104.51</v>
      </c>
      <c r="O86" s="202">
        <f t="shared" si="33"/>
        <v>-61.4503678469177</v>
      </c>
      <c r="P86" s="204"/>
      <c r="Q86" s="211">
        <f>VLOOKUP(A86,[2]表四一般公共预算支出预算表!$A$8:$L$10000,12,0)</f>
        <v>34.23</v>
      </c>
      <c r="S86" s="175">
        <f>VLOOKUP(A86,[3]Sheet1!$A$4:$C$61,3,0)</f>
        <v>180</v>
      </c>
      <c r="T86" s="175">
        <f t="shared" si="16"/>
        <v>-180</v>
      </c>
      <c r="AA86" s="216"/>
      <c r="AD86" s="175">
        <f t="shared" si="29"/>
        <v>0</v>
      </c>
      <c r="AF86" s="175">
        <f t="shared" si="30"/>
        <v>0</v>
      </c>
    </row>
    <row r="87" spans="1:32">
      <c r="A87" s="191">
        <v>21015</v>
      </c>
      <c r="B87" s="194" t="s">
        <v>156</v>
      </c>
      <c r="C87" s="32">
        <f t="shared" si="23"/>
        <v>400.88</v>
      </c>
      <c r="D87" s="21">
        <f t="shared" si="24"/>
        <v>400.88</v>
      </c>
      <c r="E87" s="190">
        <v>400.88</v>
      </c>
      <c r="F87" s="21"/>
      <c r="G87" s="21"/>
      <c r="H87" s="21"/>
      <c r="I87" s="32">
        <f t="shared" si="31"/>
        <v>536.82</v>
      </c>
      <c r="J87" s="21">
        <f t="shared" si="32"/>
        <v>488.82</v>
      </c>
      <c r="K87" s="190">
        <v>488.82</v>
      </c>
      <c r="L87" s="201"/>
      <c r="M87" s="190">
        <v>33</v>
      </c>
      <c r="N87" s="21">
        <v>15</v>
      </c>
      <c r="O87" s="202">
        <f t="shared" si="33"/>
        <v>33.9103971263221</v>
      </c>
      <c r="P87" s="204"/>
      <c r="Q87" s="211" t="e">
        <f>VLOOKUP(A87,[2]表四一般公共预算支出预算表!$A$8:$L$10000,12,0)</f>
        <v>#REF!</v>
      </c>
      <c r="T87" s="175">
        <f t="shared" si="16"/>
        <v>0</v>
      </c>
      <c r="AC87" s="175">
        <f>VLOOKUP(A87,[4]Sheet3!$A$4:$C$66,3,0)</f>
        <v>488.821554</v>
      </c>
      <c r="AD87" s="175">
        <f t="shared" si="29"/>
        <v>0.00155399999999872</v>
      </c>
      <c r="AF87" s="175">
        <f t="shared" si="30"/>
        <v>0</v>
      </c>
    </row>
    <row r="88" spans="1:32">
      <c r="A88" s="191">
        <v>21017</v>
      </c>
      <c r="B88" s="194" t="s">
        <v>348</v>
      </c>
      <c r="C88" s="32">
        <f t="shared" si="23"/>
        <v>4</v>
      </c>
      <c r="D88" s="21"/>
      <c r="E88" s="190"/>
      <c r="F88" s="21"/>
      <c r="G88" s="21">
        <v>4</v>
      </c>
      <c r="H88" s="21"/>
      <c r="I88" s="32">
        <f t="shared" si="31"/>
        <v>165.73</v>
      </c>
      <c r="J88" s="21">
        <f t="shared" si="32"/>
        <v>0</v>
      </c>
      <c r="K88" s="190"/>
      <c r="L88" s="201"/>
      <c r="M88" s="190">
        <v>108.73</v>
      </c>
      <c r="N88" s="21">
        <v>57</v>
      </c>
      <c r="O88" s="202">
        <f t="shared" si="33"/>
        <v>4043.25</v>
      </c>
      <c r="P88" s="204"/>
      <c r="Q88" s="211"/>
      <c r="AD88" s="175">
        <f t="shared" si="29"/>
        <v>0</v>
      </c>
      <c r="AF88" s="175">
        <f t="shared" si="30"/>
        <v>0</v>
      </c>
    </row>
    <row r="89" spans="1:32">
      <c r="A89" s="191">
        <v>21099</v>
      </c>
      <c r="B89" s="192" t="s">
        <v>157</v>
      </c>
      <c r="C89" s="32">
        <f t="shared" ref="C89:C152" si="34">E89+F89+G89+H89</f>
        <v>245.38</v>
      </c>
      <c r="D89" s="21">
        <f t="shared" ref="D89:D152" si="35">E89+F89</f>
        <v>0</v>
      </c>
      <c r="E89" s="190"/>
      <c r="F89" s="21"/>
      <c r="G89" s="21">
        <v>245.38</v>
      </c>
      <c r="H89" s="21"/>
      <c r="I89" s="32">
        <f t="shared" si="31"/>
        <v>632.13</v>
      </c>
      <c r="J89" s="21">
        <f t="shared" si="32"/>
        <v>0</v>
      </c>
      <c r="K89" s="190"/>
      <c r="L89" s="201"/>
      <c r="M89" s="190">
        <v>548.13</v>
      </c>
      <c r="N89" s="21">
        <v>84</v>
      </c>
      <c r="O89" s="202">
        <f t="shared" si="33"/>
        <v>157.612682370201</v>
      </c>
      <c r="P89" s="204"/>
      <c r="Q89" s="211" t="e">
        <f>VLOOKUP(A89,[2]表四一般公共预算支出预算表!$A$8:$L$10000,12,0)</f>
        <v>#REF!</v>
      </c>
      <c r="S89" s="212">
        <v>0</v>
      </c>
      <c r="T89" s="212">
        <f t="shared" ref="T89:T118" si="36">L89-S89</f>
        <v>0</v>
      </c>
      <c r="AD89" s="175">
        <f t="shared" si="29"/>
        <v>0</v>
      </c>
      <c r="AF89" s="175">
        <f t="shared" si="30"/>
        <v>0</v>
      </c>
    </row>
    <row r="90" s="166" customFormat="1" ht="28.95" customHeight="1" spans="1:30">
      <c r="A90" s="189" t="s">
        <v>158</v>
      </c>
      <c r="B90" s="188" t="s">
        <v>159</v>
      </c>
      <c r="C90" s="32">
        <f t="shared" si="34"/>
        <v>3031.34</v>
      </c>
      <c r="D90" s="32">
        <f t="shared" si="35"/>
        <v>42.76</v>
      </c>
      <c r="E90" s="21">
        <f t="shared" ref="E90:H90" si="37">SUM(E91:E99)</f>
        <v>0</v>
      </c>
      <c r="F90" s="21">
        <f t="shared" si="37"/>
        <v>42.76</v>
      </c>
      <c r="G90" s="21">
        <f t="shared" si="37"/>
        <v>2952</v>
      </c>
      <c r="H90" s="21">
        <f t="shared" si="37"/>
        <v>36.58</v>
      </c>
      <c r="I90" s="32">
        <f t="shared" si="31"/>
        <v>1564.57</v>
      </c>
      <c r="J90" s="32">
        <f t="shared" si="32"/>
        <v>47.92</v>
      </c>
      <c r="K90" s="21">
        <f>SUM(K91:K99)</f>
        <v>0</v>
      </c>
      <c r="L90" s="21">
        <f t="shared" ref="K90:N90" si="38">SUM(L91:L99)</f>
        <v>47.92</v>
      </c>
      <c r="M90" s="21">
        <f t="shared" si="38"/>
        <v>1508.02</v>
      </c>
      <c r="N90" s="21">
        <f t="shared" si="38"/>
        <v>8.63</v>
      </c>
      <c r="O90" s="202">
        <f t="shared" si="33"/>
        <v>-48.386852019239</v>
      </c>
      <c r="P90" s="200"/>
      <c r="Q90" s="211"/>
      <c r="R90" s="175"/>
      <c r="S90" s="212"/>
      <c r="T90" s="212">
        <f t="shared" si="36"/>
        <v>47.92</v>
      </c>
      <c r="U90" s="210"/>
      <c r="Y90" s="213"/>
      <c r="Z90" s="213"/>
      <c r="AA90" s="214"/>
      <c r="AC90" s="175"/>
      <c r="AD90" s="175">
        <f t="shared" si="29"/>
        <v>0</v>
      </c>
    </row>
    <row r="91" ht="40" customHeight="1" spans="1:32">
      <c r="A91" s="191">
        <v>21101</v>
      </c>
      <c r="B91" s="192" t="s">
        <v>160</v>
      </c>
      <c r="C91" s="32">
        <f t="shared" si="34"/>
        <v>42.76</v>
      </c>
      <c r="D91" s="21">
        <f t="shared" si="35"/>
        <v>42.76</v>
      </c>
      <c r="E91" s="190"/>
      <c r="F91" s="21">
        <v>42.76</v>
      </c>
      <c r="G91" s="21"/>
      <c r="H91" s="21"/>
      <c r="I91" s="32">
        <f t="shared" si="31"/>
        <v>47.92</v>
      </c>
      <c r="J91" s="21">
        <f t="shared" si="32"/>
        <v>47.92</v>
      </c>
      <c r="K91" s="190"/>
      <c r="L91" s="201">
        <v>47.92</v>
      </c>
      <c r="M91" s="190"/>
      <c r="N91" s="21"/>
      <c r="O91" s="202">
        <f t="shared" si="33"/>
        <v>12.067352666043</v>
      </c>
      <c r="P91" s="204" t="s">
        <v>349</v>
      </c>
      <c r="Q91" s="211" t="e">
        <f>VLOOKUP(A91,[2]表四一般公共预算支出预算表!$A$8:$L$10000,12,0)</f>
        <v>#REF!</v>
      </c>
      <c r="S91" s="212"/>
      <c r="T91" s="212">
        <f t="shared" si="36"/>
        <v>47.92</v>
      </c>
      <c r="AD91" s="175">
        <f t="shared" si="29"/>
        <v>0</v>
      </c>
      <c r="AE91" s="175" t="e">
        <v>#N/A</v>
      </c>
      <c r="AF91" s="175" t="e">
        <f t="shared" ref="AF91:AF99" si="39">+L91-AE91</f>
        <v>#N/A</v>
      </c>
    </row>
    <row r="92" spans="1:32">
      <c r="A92" s="191">
        <v>21103</v>
      </c>
      <c r="B92" s="192" t="s">
        <v>162</v>
      </c>
      <c r="C92" s="32">
        <f t="shared" si="34"/>
        <v>2031.55</v>
      </c>
      <c r="D92" s="21">
        <f t="shared" si="35"/>
        <v>0</v>
      </c>
      <c r="E92" s="190"/>
      <c r="F92" s="21"/>
      <c r="G92" s="21">
        <v>1996.1</v>
      </c>
      <c r="H92" s="21">
        <v>35.45</v>
      </c>
      <c r="I92" s="32">
        <f t="shared" si="31"/>
        <v>343.97</v>
      </c>
      <c r="J92" s="21">
        <f t="shared" si="32"/>
        <v>0</v>
      </c>
      <c r="K92" s="190"/>
      <c r="L92" s="201"/>
      <c r="M92" s="190">
        <v>346.18</v>
      </c>
      <c r="N92" s="21">
        <v>-2.21</v>
      </c>
      <c r="O92" s="202">
        <f t="shared" si="33"/>
        <v>-83.0685929462725</v>
      </c>
      <c r="P92" s="204"/>
      <c r="Q92" s="211" t="e">
        <f>VLOOKUP(A92,[2]表四一般公共预算支出预算表!$A$8:$L$10000,12,0)</f>
        <v>#REF!</v>
      </c>
      <c r="T92" s="175">
        <f t="shared" si="36"/>
        <v>0</v>
      </c>
      <c r="AD92" s="175">
        <f t="shared" si="29"/>
        <v>0</v>
      </c>
      <c r="AF92" s="175">
        <f t="shared" si="39"/>
        <v>0</v>
      </c>
    </row>
    <row r="93" spans="1:32">
      <c r="A93" s="191">
        <v>21104</v>
      </c>
      <c r="B93" s="194" t="s">
        <v>163</v>
      </c>
      <c r="C93" s="32">
        <f t="shared" si="34"/>
        <v>0</v>
      </c>
      <c r="D93" s="21">
        <f t="shared" si="35"/>
        <v>0</v>
      </c>
      <c r="E93" s="190"/>
      <c r="F93" s="21"/>
      <c r="G93" s="21"/>
      <c r="H93" s="21"/>
      <c r="I93" s="32">
        <f t="shared" si="31"/>
        <v>870.8</v>
      </c>
      <c r="J93" s="21">
        <f t="shared" si="32"/>
        <v>0</v>
      </c>
      <c r="K93" s="190"/>
      <c r="L93" s="201"/>
      <c r="M93" s="190">
        <v>867.8</v>
      </c>
      <c r="N93" s="21">
        <v>3</v>
      </c>
      <c r="O93" s="202">
        <f t="shared" si="33"/>
        <v>0</v>
      </c>
      <c r="P93" s="204"/>
      <c r="Q93" s="211" t="e">
        <f>VLOOKUP(A93,[2]表四一般公共预算支出预算表!$A$8:$L$10000,12,0)</f>
        <v>#REF!</v>
      </c>
      <c r="T93" s="175">
        <f t="shared" si="36"/>
        <v>0</v>
      </c>
      <c r="AD93" s="175">
        <f t="shared" si="29"/>
        <v>0</v>
      </c>
      <c r="AF93" s="175">
        <f t="shared" si="39"/>
        <v>0</v>
      </c>
    </row>
    <row r="94" spans="1:32">
      <c r="A94" s="191">
        <v>21106</v>
      </c>
      <c r="B94" s="194" t="s">
        <v>350</v>
      </c>
      <c r="C94" s="32">
        <f t="shared" si="34"/>
        <v>0</v>
      </c>
      <c r="D94" s="21">
        <f t="shared" si="35"/>
        <v>0</v>
      </c>
      <c r="E94" s="190"/>
      <c r="F94" s="21"/>
      <c r="G94" s="21"/>
      <c r="H94" s="21"/>
      <c r="I94" s="32">
        <f t="shared" si="31"/>
        <v>0</v>
      </c>
      <c r="J94" s="21">
        <f t="shared" si="32"/>
        <v>0</v>
      </c>
      <c r="K94" s="190"/>
      <c r="L94" s="201"/>
      <c r="M94" s="190"/>
      <c r="N94" s="21"/>
      <c r="O94" s="202">
        <f t="shared" si="33"/>
        <v>0</v>
      </c>
      <c r="P94" s="204"/>
      <c r="Q94" s="211" t="e">
        <f>VLOOKUP(A94,[2]表四一般公共预算支出预算表!$A$8:$L$10000,12,0)</f>
        <v>#REF!</v>
      </c>
      <c r="T94" s="175">
        <f t="shared" si="36"/>
        <v>0</v>
      </c>
      <c r="AD94" s="175">
        <f t="shared" si="29"/>
        <v>0</v>
      </c>
      <c r="AF94" s="175">
        <f t="shared" si="39"/>
        <v>0</v>
      </c>
    </row>
    <row r="95" spans="1:32">
      <c r="A95" s="191">
        <v>21105</v>
      </c>
      <c r="B95" s="194" t="s">
        <v>351</v>
      </c>
      <c r="C95" s="32">
        <f t="shared" si="34"/>
        <v>1.13</v>
      </c>
      <c r="D95" s="21">
        <f t="shared" si="35"/>
        <v>0</v>
      </c>
      <c r="E95" s="190"/>
      <c r="F95" s="21"/>
      <c r="G95" s="21"/>
      <c r="H95" s="21">
        <v>1.13</v>
      </c>
      <c r="I95" s="32">
        <f t="shared" si="31"/>
        <v>9.23</v>
      </c>
      <c r="J95" s="21">
        <f t="shared" si="32"/>
        <v>0</v>
      </c>
      <c r="K95" s="190"/>
      <c r="L95" s="201"/>
      <c r="M95" s="190">
        <v>1.39</v>
      </c>
      <c r="N95" s="21">
        <v>7.84</v>
      </c>
      <c r="O95" s="202">
        <f t="shared" si="33"/>
        <v>716.814159292036</v>
      </c>
      <c r="P95" s="204"/>
      <c r="Q95" s="211">
        <f>VLOOKUP(A95,[2]表四一般公共预算支出预算表!$A$8:$L$10000,12,0)</f>
        <v>0.49</v>
      </c>
      <c r="T95" s="175">
        <f t="shared" si="36"/>
        <v>0</v>
      </c>
      <c r="AD95" s="175">
        <f t="shared" si="29"/>
        <v>0</v>
      </c>
      <c r="AF95" s="175">
        <f t="shared" si="39"/>
        <v>0</v>
      </c>
    </row>
    <row r="96" spans="1:32">
      <c r="A96" s="191">
        <v>21110</v>
      </c>
      <c r="B96" s="194" t="s">
        <v>165</v>
      </c>
      <c r="C96" s="32">
        <f t="shared" si="34"/>
        <v>60</v>
      </c>
      <c r="D96" s="21">
        <f t="shared" si="35"/>
        <v>0</v>
      </c>
      <c r="E96" s="190"/>
      <c r="F96" s="21"/>
      <c r="G96" s="21">
        <v>60</v>
      </c>
      <c r="H96" s="21"/>
      <c r="I96" s="32">
        <f t="shared" si="31"/>
        <v>183.15</v>
      </c>
      <c r="J96" s="21">
        <f t="shared" si="32"/>
        <v>0</v>
      </c>
      <c r="K96" s="190"/>
      <c r="L96" s="201"/>
      <c r="M96" s="190">
        <v>183.15</v>
      </c>
      <c r="N96" s="21"/>
      <c r="O96" s="202">
        <f t="shared" si="33"/>
        <v>205.25</v>
      </c>
      <c r="P96" s="204"/>
      <c r="Q96" s="211" t="e">
        <f>VLOOKUP(A96,[2]表四一般公共预算支出预算表!$A$8:$L$10000,12,0)</f>
        <v>#REF!</v>
      </c>
      <c r="T96" s="175">
        <f t="shared" si="36"/>
        <v>0</v>
      </c>
      <c r="AD96" s="175">
        <f t="shared" si="29"/>
        <v>0</v>
      </c>
      <c r="AF96" s="175">
        <f t="shared" si="39"/>
        <v>0</v>
      </c>
    </row>
    <row r="97" spans="1:32">
      <c r="A97" s="191">
        <v>21111</v>
      </c>
      <c r="B97" s="192" t="s">
        <v>166</v>
      </c>
      <c r="C97" s="32">
        <f t="shared" si="34"/>
        <v>0</v>
      </c>
      <c r="D97" s="21">
        <f t="shared" si="35"/>
        <v>0</v>
      </c>
      <c r="E97" s="190"/>
      <c r="F97" s="21"/>
      <c r="G97" s="21"/>
      <c r="H97" s="21"/>
      <c r="I97" s="32">
        <f t="shared" si="31"/>
        <v>0</v>
      </c>
      <c r="J97" s="21">
        <f t="shared" si="32"/>
        <v>0</v>
      </c>
      <c r="K97" s="190"/>
      <c r="L97" s="201"/>
      <c r="M97" s="190"/>
      <c r="N97" s="21"/>
      <c r="O97" s="202">
        <f t="shared" si="33"/>
        <v>0</v>
      </c>
      <c r="P97" s="204"/>
      <c r="Q97" s="211" t="e">
        <f>VLOOKUP(A97,[2]表四一般公共预算支出预算表!$A$8:$L$10000,12,0)</f>
        <v>#REF!</v>
      </c>
      <c r="T97" s="175">
        <f t="shared" si="36"/>
        <v>0</v>
      </c>
      <c r="AD97" s="175">
        <f t="shared" si="29"/>
        <v>0</v>
      </c>
      <c r="AF97" s="175">
        <f t="shared" si="39"/>
        <v>0</v>
      </c>
    </row>
    <row r="98" spans="1:32">
      <c r="A98" s="191">
        <v>21112</v>
      </c>
      <c r="B98" s="192" t="s">
        <v>167</v>
      </c>
      <c r="C98" s="32">
        <f t="shared" si="34"/>
        <v>60</v>
      </c>
      <c r="D98" s="21">
        <f t="shared" si="35"/>
        <v>0</v>
      </c>
      <c r="E98" s="190"/>
      <c r="F98" s="21"/>
      <c r="G98" s="21">
        <v>60</v>
      </c>
      <c r="H98" s="21"/>
      <c r="I98" s="32">
        <f t="shared" si="31"/>
        <v>60</v>
      </c>
      <c r="J98" s="21">
        <f t="shared" si="32"/>
        <v>0</v>
      </c>
      <c r="K98" s="190"/>
      <c r="L98" s="201"/>
      <c r="M98" s="190">
        <v>60</v>
      </c>
      <c r="N98" s="21"/>
      <c r="O98" s="202">
        <f t="shared" si="33"/>
        <v>0</v>
      </c>
      <c r="P98" s="204"/>
      <c r="Q98" s="211"/>
      <c r="T98" s="175">
        <f t="shared" si="36"/>
        <v>0</v>
      </c>
      <c r="AD98" s="175">
        <f t="shared" si="29"/>
        <v>0</v>
      </c>
      <c r="AF98" s="175">
        <f t="shared" si="39"/>
        <v>0</v>
      </c>
    </row>
    <row r="99" spans="1:32">
      <c r="A99" s="191">
        <v>21199</v>
      </c>
      <c r="B99" s="192" t="s">
        <v>169</v>
      </c>
      <c r="C99" s="32">
        <f t="shared" si="34"/>
        <v>835.9</v>
      </c>
      <c r="D99" s="21">
        <f t="shared" si="35"/>
        <v>0</v>
      </c>
      <c r="E99" s="190"/>
      <c r="F99" s="21"/>
      <c r="G99" s="21">
        <v>835.9</v>
      </c>
      <c r="H99" s="21"/>
      <c r="I99" s="32">
        <f t="shared" si="31"/>
        <v>49.5</v>
      </c>
      <c r="J99" s="21">
        <f t="shared" si="32"/>
        <v>0</v>
      </c>
      <c r="K99" s="190"/>
      <c r="L99" s="201"/>
      <c r="M99" s="190">
        <v>49.5</v>
      </c>
      <c r="N99" s="21"/>
      <c r="O99" s="202">
        <f t="shared" si="33"/>
        <v>-94.0782390238067</v>
      </c>
      <c r="P99" s="204"/>
      <c r="Q99" s="211" t="e">
        <f>VLOOKUP(A99,[2]表四一般公共预算支出预算表!$A$8:$L$10000,12,0)</f>
        <v>#REF!</v>
      </c>
      <c r="T99" s="175">
        <f t="shared" si="36"/>
        <v>0</v>
      </c>
      <c r="AD99" s="175">
        <f t="shared" si="29"/>
        <v>0</v>
      </c>
      <c r="AF99" s="175">
        <f t="shared" si="39"/>
        <v>0</v>
      </c>
    </row>
    <row r="100" s="166" customFormat="1" ht="28.95" customHeight="1" spans="1:30">
      <c r="A100" s="189" t="s">
        <v>170</v>
      </c>
      <c r="B100" s="188" t="s">
        <v>171</v>
      </c>
      <c r="C100" s="32">
        <f t="shared" si="34"/>
        <v>9607.5</v>
      </c>
      <c r="D100" s="32">
        <f t="shared" si="35"/>
        <v>8266.95</v>
      </c>
      <c r="E100" s="190">
        <f>SUM(E101:E105)</f>
        <v>8171.53</v>
      </c>
      <c r="F100" s="190">
        <f>SUM(F101:F105)</f>
        <v>95.42</v>
      </c>
      <c r="G100" s="21">
        <f>SUM(G101:G106)</f>
        <v>1205.3</v>
      </c>
      <c r="H100" s="21">
        <f>SUM(H101:H106)</f>
        <v>135.25</v>
      </c>
      <c r="I100" s="32">
        <f t="shared" si="31"/>
        <v>13776.69</v>
      </c>
      <c r="J100" s="32">
        <f t="shared" si="32"/>
        <v>8530.6</v>
      </c>
      <c r="K100" s="190">
        <f>SUM(K101:K105)</f>
        <v>8518.6</v>
      </c>
      <c r="L100" s="190">
        <f>SUM(L101:L105)</f>
        <v>12</v>
      </c>
      <c r="M100" s="21">
        <f>SUM(M101:M106)</f>
        <v>5246.09</v>
      </c>
      <c r="N100" s="21">
        <f>SUM(N101:N106)</f>
        <v>0</v>
      </c>
      <c r="O100" s="202">
        <f t="shared" si="33"/>
        <v>43.3951600312256</v>
      </c>
      <c r="P100" s="218"/>
      <c r="Q100" s="211"/>
      <c r="R100" s="175"/>
      <c r="S100" s="212"/>
      <c r="T100" s="212">
        <f t="shared" si="36"/>
        <v>12</v>
      </c>
      <c r="U100" s="210"/>
      <c r="Y100" s="213"/>
      <c r="Z100" s="213"/>
      <c r="AA100" s="214"/>
      <c r="AC100" s="175"/>
      <c r="AD100" s="175">
        <f t="shared" si="29"/>
        <v>-8518.6</v>
      </c>
    </row>
    <row r="101" ht="31" customHeight="1" spans="1:32">
      <c r="A101" s="191">
        <v>21201</v>
      </c>
      <c r="B101" s="192" t="s">
        <v>172</v>
      </c>
      <c r="C101" s="32">
        <f t="shared" si="34"/>
        <v>2884.29</v>
      </c>
      <c r="D101" s="21">
        <f t="shared" si="35"/>
        <v>2884.29</v>
      </c>
      <c r="E101" s="190">
        <v>2861.37</v>
      </c>
      <c r="F101" s="21">
        <v>22.92</v>
      </c>
      <c r="G101" s="21"/>
      <c r="H101" s="21"/>
      <c r="I101" s="32">
        <f t="shared" si="31"/>
        <v>3019.94</v>
      </c>
      <c r="J101" s="21">
        <f t="shared" si="32"/>
        <v>3019.94</v>
      </c>
      <c r="K101" s="190">
        <v>3007.94</v>
      </c>
      <c r="L101" s="201">
        <v>12</v>
      </c>
      <c r="M101" s="190"/>
      <c r="N101" s="21"/>
      <c r="O101" s="202">
        <f t="shared" si="33"/>
        <v>4.70306383893437</v>
      </c>
      <c r="P101" s="204" t="s">
        <v>352</v>
      </c>
      <c r="Q101" s="211">
        <f>VLOOKUP(A101,[2]表四一般公共预算支出预算表!$A$8:$L$10000,12,0)</f>
        <v>16.2</v>
      </c>
      <c r="S101" s="212">
        <f>VLOOKUP(A101,[3]Sheet1!$A$4:$C$61,3,0)</f>
        <v>22.921</v>
      </c>
      <c r="T101" s="212">
        <f t="shared" si="36"/>
        <v>-10.921</v>
      </c>
      <c r="AC101" s="175">
        <f>VLOOKUP(A101,[4]Sheet3!$A$4:$C$66,3,0)</f>
        <v>2982.019457</v>
      </c>
      <c r="AD101" s="175">
        <f t="shared" si="29"/>
        <v>-25.9205430000002</v>
      </c>
      <c r="AE101" s="175">
        <v>12</v>
      </c>
      <c r="AF101" s="175">
        <f t="shared" ref="AF101:AF106" si="40">+L101-AE101</f>
        <v>0</v>
      </c>
    </row>
    <row r="102" spans="1:32">
      <c r="A102" s="191">
        <v>21202</v>
      </c>
      <c r="B102" s="192" t="s">
        <v>173</v>
      </c>
      <c r="C102" s="32">
        <f t="shared" si="34"/>
        <v>149.52</v>
      </c>
      <c r="D102" s="21">
        <f t="shared" si="35"/>
        <v>149.52</v>
      </c>
      <c r="E102" s="190">
        <v>149.52</v>
      </c>
      <c r="F102" s="21"/>
      <c r="G102" s="21"/>
      <c r="H102" s="21"/>
      <c r="I102" s="32">
        <f t="shared" si="31"/>
        <v>366.63</v>
      </c>
      <c r="J102" s="21">
        <f t="shared" si="32"/>
        <v>166.63</v>
      </c>
      <c r="K102" s="190">
        <v>166.63</v>
      </c>
      <c r="L102" s="201"/>
      <c r="M102" s="190">
        <v>200</v>
      </c>
      <c r="N102" s="21"/>
      <c r="O102" s="202">
        <f t="shared" si="33"/>
        <v>145.204654895666</v>
      </c>
      <c r="P102" s="204"/>
      <c r="Q102" s="211" t="e">
        <f>VLOOKUP(A102,[2]表四一般公共预算支出预算表!$A$8:$L$10000,12,0)</f>
        <v>#REF!</v>
      </c>
      <c r="T102" s="175">
        <f t="shared" si="36"/>
        <v>0</v>
      </c>
      <c r="AC102" s="175">
        <f>VLOOKUP(A102,[4]Sheet3!$A$4:$C$66,3,0)</f>
        <v>166.629625</v>
      </c>
      <c r="AD102" s="175">
        <f t="shared" si="29"/>
        <v>-0.000374999999991132</v>
      </c>
      <c r="AF102" s="175">
        <f t="shared" si="40"/>
        <v>0</v>
      </c>
    </row>
    <row r="103" spans="1:32">
      <c r="A103" s="191">
        <v>21203</v>
      </c>
      <c r="B103" s="192" t="s">
        <v>174</v>
      </c>
      <c r="C103" s="32">
        <f t="shared" si="34"/>
        <v>207.75</v>
      </c>
      <c r="D103" s="21">
        <f t="shared" si="35"/>
        <v>72.5</v>
      </c>
      <c r="E103" s="190"/>
      <c r="F103" s="21">
        <v>72.5</v>
      </c>
      <c r="G103" s="21"/>
      <c r="H103" s="21">
        <v>135.25</v>
      </c>
      <c r="I103" s="32">
        <f t="shared" si="31"/>
        <v>140</v>
      </c>
      <c r="J103" s="21">
        <f t="shared" si="32"/>
        <v>0</v>
      </c>
      <c r="K103" s="190"/>
      <c r="L103" s="201"/>
      <c r="M103" s="190">
        <v>140</v>
      </c>
      <c r="N103" s="21"/>
      <c r="O103" s="202">
        <f t="shared" si="33"/>
        <v>-32.6113116726835</v>
      </c>
      <c r="P103" s="204"/>
      <c r="Q103" s="211" t="e">
        <f>VLOOKUP(A103,[2]表四一般公共预算支出预算表!$A$8:$L$10000,12,0)</f>
        <v>#REF!</v>
      </c>
      <c r="S103" s="175">
        <f>VLOOKUP(A103,[3]Sheet1!$A$4:$C$61,3,0)</f>
        <v>72.5</v>
      </c>
      <c r="T103" s="175">
        <f t="shared" si="36"/>
        <v>-72.5</v>
      </c>
      <c r="AD103" s="175">
        <f t="shared" si="29"/>
        <v>0</v>
      </c>
      <c r="AF103" s="175">
        <f t="shared" si="40"/>
        <v>0</v>
      </c>
    </row>
    <row r="104" spans="1:32">
      <c r="A104" s="191">
        <v>21205</v>
      </c>
      <c r="B104" s="192" t="s">
        <v>175</v>
      </c>
      <c r="C104" s="32">
        <f t="shared" si="34"/>
        <v>5965.94</v>
      </c>
      <c r="D104" s="21">
        <f t="shared" si="35"/>
        <v>5160.64</v>
      </c>
      <c r="E104" s="190">
        <v>5160.64</v>
      </c>
      <c r="F104" s="21"/>
      <c r="G104" s="21">
        <v>805.3</v>
      </c>
      <c r="H104" s="21"/>
      <c r="I104" s="32">
        <f t="shared" si="31"/>
        <v>5523.12</v>
      </c>
      <c r="J104" s="21">
        <f t="shared" si="32"/>
        <v>5344.03</v>
      </c>
      <c r="K104" s="190">
        <v>5344.03</v>
      </c>
      <c r="L104" s="201"/>
      <c r="M104" s="190">
        <v>179.09</v>
      </c>
      <c r="N104" s="21"/>
      <c r="O104" s="202">
        <f t="shared" si="33"/>
        <v>-7.42246821121233</v>
      </c>
      <c r="P104" s="204"/>
      <c r="Q104" s="211" t="e">
        <f>VLOOKUP(A104,[2]表四一般公共预算支出预算表!$A$8:$L$10000,12,0)</f>
        <v>#REF!</v>
      </c>
      <c r="S104" s="175">
        <f>VLOOKUP(A104,[3]Sheet1!$A$4:$C$61,3,0)</f>
        <v>0</v>
      </c>
      <c r="T104" s="175">
        <f t="shared" si="36"/>
        <v>0</v>
      </c>
      <c r="AC104" s="175">
        <f>VLOOKUP(A104,[4]Sheet3!$A$4:$C$66,3,0)</f>
        <v>5344.025982</v>
      </c>
      <c r="AD104" s="175">
        <f t="shared" si="29"/>
        <v>-0.00401799999963259</v>
      </c>
      <c r="AF104" s="175">
        <f t="shared" si="40"/>
        <v>0</v>
      </c>
    </row>
    <row r="105" ht="24" spans="1:32">
      <c r="A105" s="191">
        <v>21213</v>
      </c>
      <c r="B105" s="192" t="s">
        <v>353</v>
      </c>
      <c r="C105" s="32">
        <f t="shared" si="34"/>
        <v>0</v>
      </c>
      <c r="D105" s="21">
        <f t="shared" si="35"/>
        <v>0</v>
      </c>
      <c r="E105" s="190"/>
      <c r="F105" s="21"/>
      <c r="G105" s="21"/>
      <c r="H105" s="21"/>
      <c r="I105" s="32">
        <f t="shared" si="31"/>
        <v>0</v>
      </c>
      <c r="J105" s="21">
        <f t="shared" si="32"/>
        <v>0</v>
      </c>
      <c r="K105" s="190"/>
      <c r="L105" s="201"/>
      <c r="M105" s="190"/>
      <c r="N105" s="21"/>
      <c r="O105" s="202">
        <f t="shared" si="33"/>
        <v>0</v>
      </c>
      <c r="P105" s="204"/>
      <c r="Q105" s="211"/>
      <c r="S105" s="175">
        <f>VLOOKUP(A105,[3]Sheet1!$A$4:$C$61,3,0)</f>
        <v>0</v>
      </c>
      <c r="T105" s="175">
        <f t="shared" si="36"/>
        <v>0</v>
      </c>
      <c r="AD105" s="175">
        <f t="shared" si="29"/>
        <v>0</v>
      </c>
      <c r="AF105" s="175">
        <f t="shared" si="40"/>
        <v>0</v>
      </c>
    </row>
    <row r="106" spans="1:32">
      <c r="A106" s="191">
        <v>21299</v>
      </c>
      <c r="B106" s="192" t="s">
        <v>176</v>
      </c>
      <c r="C106" s="32">
        <f t="shared" si="34"/>
        <v>400</v>
      </c>
      <c r="D106" s="21">
        <f t="shared" si="35"/>
        <v>0</v>
      </c>
      <c r="E106" s="190"/>
      <c r="F106" s="21"/>
      <c r="G106" s="21">
        <v>400</v>
      </c>
      <c r="H106" s="21"/>
      <c r="I106" s="32">
        <f t="shared" si="31"/>
        <v>4727</v>
      </c>
      <c r="J106" s="21">
        <f t="shared" si="32"/>
        <v>0</v>
      </c>
      <c r="K106" s="190"/>
      <c r="L106" s="201"/>
      <c r="M106" s="190">
        <v>4727</v>
      </c>
      <c r="N106" s="21"/>
      <c r="O106" s="202">
        <f t="shared" si="33"/>
        <v>1081.75</v>
      </c>
      <c r="P106" s="204"/>
      <c r="Q106" s="211" t="e">
        <f>VLOOKUP(A106,[2]表四一般公共预算支出预算表!$A$8:$L$10000,12,0)</f>
        <v>#REF!</v>
      </c>
      <c r="T106" s="175">
        <f t="shared" si="36"/>
        <v>0</v>
      </c>
      <c r="AD106" s="175">
        <f t="shared" si="29"/>
        <v>0</v>
      </c>
      <c r="AF106" s="175">
        <f t="shared" si="40"/>
        <v>0</v>
      </c>
    </row>
    <row r="107" s="166" customFormat="1" ht="28.95" customHeight="1" spans="1:30">
      <c r="A107" s="189" t="s">
        <v>177</v>
      </c>
      <c r="B107" s="188" t="s">
        <v>178</v>
      </c>
      <c r="C107" s="32">
        <f t="shared" si="34"/>
        <v>66816.12</v>
      </c>
      <c r="D107" s="32">
        <f t="shared" si="35"/>
        <v>10924.23</v>
      </c>
      <c r="E107" s="190">
        <f t="shared" ref="E107:H107" si="41">SUM(E108:E115)</f>
        <v>7835.43</v>
      </c>
      <c r="F107" s="190">
        <f t="shared" si="41"/>
        <v>3088.8</v>
      </c>
      <c r="G107" s="21">
        <f t="shared" si="41"/>
        <v>23049.45</v>
      </c>
      <c r="H107" s="21">
        <f t="shared" si="41"/>
        <v>32842.44</v>
      </c>
      <c r="I107" s="32">
        <f t="shared" si="31"/>
        <v>78822.06</v>
      </c>
      <c r="J107" s="32">
        <f t="shared" si="32"/>
        <v>12073.79</v>
      </c>
      <c r="K107" s="190">
        <f>SUM(K108:K115)</f>
        <v>7956.15</v>
      </c>
      <c r="L107" s="190">
        <f t="shared" ref="K107:N107" si="42">SUM(L108:L115)</f>
        <v>4117.64</v>
      </c>
      <c r="M107" s="21">
        <f t="shared" si="42"/>
        <v>44049.55</v>
      </c>
      <c r="N107" s="21">
        <f t="shared" si="42"/>
        <v>22698.72</v>
      </c>
      <c r="O107" s="202">
        <f t="shared" si="33"/>
        <v>17.9686279299067</v>
      </c>
      <c r="P107" s="200"/>
      <c r="Q107" s="211"/>
      <c r="R107" s="175"/>
      <c r="S107" s="212"/>
      <c r="T107" s="212">
        <f t="shared" si="36"/>
        <v>4117.64</v>
      </c>
      <c r="U107" s="210"/>
      <c r="Y107" s="213"/>
      <c r="Z107" s="213"/>
      <c r="AA107" s="214"/>
      <c r="AC107" s="175"/>
      <c r="AD107" s="175">
        <f t="shared" si="29"/>
        <v>-7956.15</v>
      </c>
    </row>
    <row r="108" ht="161" customHeight="1" spans="1:32">
      <c r="A108" s="191">
        <v>21301</v>
      </c>
      <c r="B108" s="192" t="s">
        <v>179</v>
      </c>
      <c r="C108" s="32">
        <f t="shared" si="34"/>
        <v>25489.05</v>
      </c>
      <c r="D108" s="21">
        <f t="shared" si="35"/>
        <v>5208.12</v>
      </c>
      <c r="E108" s="190">
        <v>5154.72</v>
      </c>
      <c r="F108" s="21">
        <f>629.4-576</f>
        <v>53.4</v>
      </c>
      <c r="G108" s="21">
        <f>10401.61+55+271+50+900</f>
        <v>11677.61</v>
      </c>
      <c r="H108" s="21">
        <v>8603.32</v>
      </c>
      <c r="I108" s="32">
        <f t="shared" si="31"/>
        <v>37032.76</v>
      </c>
      <c r="J108" s="21">
        <f t="shared" si="32"/>
        <v>6041.38</v>
      </c>
      <c r="K108" s="190">
        <v>4998.89</v>
      </c>
      <c r="L108" s="201">
        <v>1042.49</v>
      </c>
      <c r="M108" s="190">
        <f>15228.82+0.3+3470</f>
        <v>18699.12</v>
      </c>
      <c r="N108" s="21">
        <f>11982.26+3780-3470</f>
        <v>12292.26</v>
      </c>
      <c r="O108" s="202">
        <f t="shared" si="33"/>
        <v>45.2888985662471</v>
      </c>
      <c r="P108" s="204" t="s">
        <v>354</v>
      </c>
      <c r="Q108" s="211">
        <f>VLOOKUP(A108,[2]表四一般公共预算支出预算表!$A$8:$L$10000,12,0)</f>
        <v>8758.2</v>
      </c>
      <c r="S108" s="212">
        <v>53.4</v>
      </c>
      <c r="T108" s="212">
        <f t="shared" si="36"/>
        <v>989.09</v>
      </c>
      <c r="AC108" s="175">
        <f>VLOOKUP(A108,[4]Sheet3!$A$4:$C$66,3,0)</f>
        <v>4998.892698</v>
      </c>
      <c r="AD108" s="175">
        <f t="shared" si="29"/>
        <v>0.00269799999932729</v>
      </c>
      <c r="AE108" s="175">
        <v>1042.49</v>
      </c>
      <c r="AF108" s="175">
        <f t="shared" ref="AF108:AF115" si="43">+L108-AE108</f>
        <v>0</v>
      </c>
    </row>
    <row r="109" ht="40" customHeight="1" spans="1:32">
      <c r="A109" s="191">
        <v>21302</v>
      </c>
      <c r="B109" s="192" t="s">
        <v>180</v>
      </c>
      <c r="C109" s="32">
        <f t="shared" si="34"/>
        <v>5659.48</v>
      </c>
      <c r="D109" s="21">
        <f t="shared" si="35"/>
        <v>1431.7</v>
      </c>
      <c r="E109" s="190">
        <v>1306.3</v>
      </c>
      <c r="F109" s="21">
        <f>121.4+4</f>
        <v>125.4</v>
      </c>
      <c r="G109" s="21">
        <v>2586</v>
      </c>
      <c r="H109" s="21">
        <v>1641.78</v>
      </c>
      <c r="I109" s="32">
        <f t="shared" si="31"/>
        <v>4335.19</v>
      </c>
      <c r="J109" s="21">
        <f t="shared" si="32"/>
        <v>1500.36</v>
      </c>
      <c r="K109" s="190">
        <v>1379.82</v>
      </c>
      <c r="L109" s="201">
        <v>120.54</v>
      </c>
      <c r="M109" s="190">
        <v>2452.37</v>
      </c>
      <c r="N109" s="21">
        <v>382.46</v>
      </c>
      <c r="O109" s="202">
        <f t="shared" si="33"/>
        <v>-23.39949960067</v>
      </c>
      <c r="P109" s="204" t="s">
        <v>355</v>
      </c>
      <c r="Q109" s="211">
        <f>VLOOKUP(A109,[2]表四一般公共预算支出预算表!$A$8:$L$10000,12,0)</f>
        <v>2117.72</v>
      </c>
      <c r="S109" s="175">
        <f>VLOOKUP(A109,[3]Sheet1!$A$4:$C$61,3,0)</f>
        <v>125.4</v>
      </c>
      <c r="T109" s="175">
        <f t="shared" si="36"/>
        <v>-4.86</v>
      </c>
      <c r="AC109" s="175">
        <f>VLOOKUP(A109,[4]Sheet3!$A$4:$C$66,3,0)</f>
        <v>1379.823092</v>
      </c>
      <c r="AD109" s="175">
        <f t="shared" si="29"/>
        <v>0.00309200000015153</v>
      </c>
      <c r="AE109" s="175">
        <v>120.54</v>
      </c>
      <c r="AF109" s="175">
        <f t="shared" si="43"/>
        <v>0</v>
      </c>
    </row>
    <row r="110" ht="48" customHeight="1" spans="1:32">
      <c r="A110" s="191">
        <v>21303</v>
      </c>
      <c r="B110" s="192" t="s">
        <v>181</v>
      </c>
      <c r="C110" s="32">
        <f t="shared" si="34"/>
        <v>15873.31</v>
      </c>
      <c r="D110" s="21">
        <f t="shared" si="35"/>
        <v>836.9</v>
      </c>
      <c r="E110" s="190">
        <v>836.9</v>
      </c>
      <c r="F110" s="21"/>
      <c r="G110" s="21">
        <f>2842.82+20+30+10+438.76-0.01</f>
        <v>3341.57</v>
      </c>
      <c r="H110" s="21">
        <f>69+11625.84</f>
        <v>11694.84</v>
      </c>
      <c r="I110" s="32">
        <f t="shared" si="31"/>
        <v>15730.53</v>
      </c>
      <c r="J110" s="21">
        <f t="shared" si="32"/>
        <v>934.61</v>
      </c>
      <c r="K110" s="190">
        <v>900</v>
      </c>
      <c r="L110" s="201">
        <v>34.61</v>
      </c>
      <c r="M110" s="190">
        <f>15378.92-940</f>
        <v>14438.92</v>
      </c>
      <c r="N110" s="21">
        <f>295+62</f>
        <v>357</v>
      </c>
      <c r="O110" s="202">
        <f t="shared" si="33"/>
        <v>-0.899497332314425</v>
      </c>
      <c r="P110" s="204" t="s">
        <v>356</v>
      </c>
      <c r="Q110" s="211">
        <f>VLOOKUP(A110,[2]表四一般公共预算支出预算表!$A$8:$L$10000,12,0)</f>
        <v>2633</v>
      </c>
      <c r="T110" s="175">
        <f t="shared" si="36"/>
        <v>34.61</v>
      </c>
      <c r="AC110" s="175">
        <f>VLOOKUP(A110,[4]Sheet3!$A$4:$C$66,3,0)</f>
        <v>899.999468</v>
      </c>
      <c r="AD110" s="175">
        <f t="shared" ref="AD110:AD152" si="44">AC110-K110</f>
        <v>-0.000532000000021071</v>
      </c>
      <c r="AE110" s="175">
        <v>34.61</v>
      </c>
      <c r="AF110" s="175">
        <f t="shared" si="43"/>
        <v>0</v>
      </c>
    </row>
    <row r="111" ht="63" customHeight="1" spans="1:32">
      <c r="A111" s="191">
        <v>21305</v>
      </c>
      <c r="B111" s="192" t="s">
        <v>182</v>
      </c>
      <c r="C111" s="32">
        <f t="shared" si="34"/>
        <v>7842.51</v>
      </c>
      <c r="D111" s="21">
        <f t="shared" si="35"/>
        <v>3447.51</v>
      </c>
      <c r="E111" s="190">
        <v>537.51</v>
      </c>
      <c r="F111" s="21">
        <f>2334+576</f>
        <v>2910</v>
      </c>
      <c r="G111" s="21"/>
      <c r="H111" s="21">
        <v>4395</v>
      </c>
      <c r="I111" s="32">
        <f t="shared" si="31"/>
        <v>8898.44</v>
      </c>
      <c r="J111" s="21">
        <f t="shared" si="32"/>
        <v>3597.44</v>
      </c>
      <c r="K111" s="190">
        <v>677.44</v>
      </c>
      <c r="L111" s="201">
        <v>2920</v>
      </c>
      <c r="M111" s="190"/>
      <c r="N111" s="21">
        <v>5301</v>
      </c>
      <c r="O111" s="202">
        <f t="shared" si="33"/>
        <v>13.4641842981392</v>
      </c>
      <c r="P111" s="204" t="s">
        <v>357</v>
      </c>
      <c r="Q111" s="211">
        <f>VLOOKUP(A111,[2]表四一般公共预算支出预算表!$A$8:$L$10000,12,0)</f>
        <v>7423</v>
      </c>
      <c r="S111" s="175">
        <f>VLOOKUP(A111,[3]Sheet1!$A$4:$C$61,3,0)</f>
        <v>2910</v>
      </c>
      <c r="T111" s="175">
        <f t="shared" si="36"/>
        <v>10</v>
      </c>
      <c r="AC111" s="175">
        <f>VLOOKUP(A111,[4]Sheet3!$A$4:$C$66,3,0)</f>
        <v>677.442817</v>
      </c>
      <c r="AD111" s="175">
        <f t="shared" si="44"/>
        <v>0.00281699999993634</v>
      </c>
      <c r="AE111" s="175">
        <v>2920</v>
      </c>
      <c r="AF111" s="175">
        <f t="shared" si="43"/>
        <v>0</v>
      </c>
    </row>
    <row r="112" spans="1:32">
      <c r="A112" s="191">
        <v>21307</v>
      </c>
      <c r="B112" s="192" t="s">
        <v>183</v>
      </c>
      <c r="C112" s="32">
        <f t="shared" si="34"/>
        <v>6736.81</v>
      </c>
      <c r="D112" s="21">
        <f t="shared" si="35"/>
        <v>0</v>
      </c>
      <c r="E112" s="190"/>
      <c r="F112" s="21"/>
      <c r="G112" s="21">
        <f>3182.81+84</f>
        <v>3266.81</v>
      </c>
      <c r="H112" s="21">
        <v>3470</v>
      </c>
      <c r="I112" s="32">
        <f t="shared" si="31"/>
        <v>7382.65</v>
      </c>
      <c r="J112" s="21">
        <f t="shared" si="32"/>
        <v>0</v>
      </c>
      <c r="K112" s="190"/>
      <c r="L112" s="201"/>
      <c r="M112" s="190">
        <v>4903.65</v>
      </c>
      <c r="N112" s="21">
        <v>2479</v>
      </c>
      <c r="O112" s="202">
        <f t="shared" si="33"/>
        <v>9.58673318677535</v>
      </c>
      <c r="P112" s="204"/>
      <c r="Q112" s="211">
        <f>VLOOKUP(A112,[2]表四一般公共预算支出预算表!$A$8:$L$10000,12,0)</f>
        <v>2601</v>
      </c>
      <c r="T112" s="175">
        <f t="shared" si="36"/>
        <v>0</v>
      </c>
      <c r="AD112" s="175">
        <f t="shared" si="44"/>
        <v>0</v>
      </c>
      <c r="AF112" s="175">
        <f t="shared" si="43"/>
        <v>0</v>
      </c>
    </row>
    <row r="113" spans="1:32">
      <c r="A113" s="191">
        <v>21308</v>
      </c>
      <c r="B113" s="192" t="s">
        <v>184</v>
      </c>
      <c r="C113" s="32">
        <f t="shared" si="34"/>
        <v>4301.49</v>
      </c>
      <c r="D113" s="21">
        <f t="shared" si="35"/>
        <v>0</v>
      </c>
      <c r="E113" s="190"/>
      <c r="F113" s="21"/>
      <c r="G113" s="21">
        <v>1463.49</v>
      </c>
      <c r="H113" s="21">
        <v>2838</v>
      </c>
      <c r="I113" s="32">
        <f t="shared" si="31"/>
        <v>4858.82</v>
      </c>
      <c r="J113" s="21">
        <f t="shared" si="32"/>
        <v>0</v>
      </c>
      <c r="K113" s="190"/>
      <c r="L113" s="201"/>
      <c r="M113" s="190">
        <v>2971.82</v>
      </c>
      <c r="N113" s="21">
        <f>1866+21</f>
        <v>1887</v>
      </c>
      <c r="O113" s="202">
        <f t="shared" si="33"/>
        <v>12.9566731527912</v>
      </c>
      <c r="P113" s="204"/>
      <c r="Q113" s="211">
        <f>VLOOKUP(A113,[2]表四一般公共预算支出预算表!$A$8:$L$10000,12,0)</f>
        <v>36</v>
      </c>
      <c r="T113" s="175">
        <f t="shared" si="36"/>
        <v>0</v>
      </c>
      <c r="AD113" s="175">
        <f t="shared" si="44"/>
        <v>0</v>
      </c>
      <c r="AF113" s="175">
        <f t="shared" si="43"/>
        <v>0</v>
      </c>
    </row>
    <row r="114" spans="1:32">
      <c r="A114" s="191">
        <v>21309</v>
      </c>
      <c r="B114" s="192" t="s">
        <v>185</v>
      </c>
      <c r="C114" s="32">
        <f t="shared" si="34"/>
        <v>3.87</v>
      </c>
      <c r="D114" s="21">
        <f t="shared" si="35"/>
        <v>0</v>
      </c>
      <c r="E114" s="190"/>
      <c r="F114" s="21"/>
      <c r="G114" s="21">
        <v>3.87</v>
      </c>
      <c r="H114" s="21"/>
      <c r="I114" s="32">
        <f t="shared" si="31"/>
        <v>11.97</v>
      </c>
      <c r="J114" s="21">
        <f t="shared" si="32"/>
        <v>0</v>
      </c>
      <c r="K114" s="190"/>
      <c r="L114" s="201"/>
      <c r="M114" s="190">
        <v>11.97</v>
      </c>
      <c r="N114" s="21"/>
      <c r="O114" s="202">
        <f t="shared" si="33"/>
        <v>209.302325581395</v>
      </c>
      <c r="P114" s="204"/>
      <c r="Q114" s="211" t="e">
        <f>VLOOKUP(A114,[2]表四一般公共预算支出预算表!$A$8:$L$10000,12,0)</f>
        <v>#REF!</v>
      </c>
      <c r="T114" s="175">
        <f t="shared" si="36"/>
        <v>0</v>
      </c>
      <c r="AD114" s="175">
        <f t="shared" si="44"/>
        <v>0</v>
      </c>
      <c r="AF114" s="175">
        <f t="shared" si="43"/>
        <v>0</v>
      </c>
    </row>
    <row r="115" spans="1:32">
      <c r="A115" s="191">
        <v>21399</v>
      </c>
      <c r="B115" s="192" t="s">
        <v>186</v>
      </c>
      <c r="C115" s="32">
        <f t="shared" si="34"/>
        <v>909.6</v>
      </c>
      <c r="D115" s="21">
        <f t="shared" si="35"/>
        <v>0</v>
      </c>
      <c r="E115" s="190"/>
      <c r="F115" s="21"/>
      <c r="G115" s="21">
        <f>210.1+500</f>
        <v>710.1</v>
      </c>
      <c r="H115" s="21">
        <v>199.5</v>
      </c>
      <c r="I115" s="32">
        <f t="shared" si="31"/>
        <v>571.7</v>
      </c>
      <c r="J115" s="21">
        <f t="shared" si="32"/>
        <v>0</v>
      </c>
      <c r="K115" s="190"/>
      <c r="L115" s="201"/>
      <c r="M115" s="190">
        <v>571.7</v>
      </c>
      <c r="N115" s="21"/>
      <c r="O115" s="202">
        <f t="shared" si="33"/>
        <v>-37.1481970096746</v>
      </c>
      <c r="P115" s="204"/>
      <c r="Q115" s="211">
        <f>VLOOKUP(A115,[2]表四一般公共预算支出预算表!$A$8:$L$10000,12,0)</f>
        <v>47</v>
      </c>
      <c r="T115" s="175">
        <f t="shared" si="36"/>
        <v>0</v>
      </c>
      <c r="AD115" s="175">
        <f t="shared" si="44"/>
        <v>0</v>
      </c>
      <c r="AF115" s="175">
        <f t="shared" si="43"/>
        <v>0</v>
      </c>
    </row>
    <row r="116" s="166" customFormat="1" ht="28.95" customHeight="1" spans="1:30">
      <c r="A116" s="189" t="s">
        <v>187</v>
      </c>
      <c r="B116" s="188" t="s">
        <v>188</v>
      </c>
      <c r="C116" s="32">
        <f t="shared" si="34"/>
        <v>9913.07</v>
      </c>
      <c r="D116" s="32">
        <f t="shared" si="35"/>
        <v>667.45</v>
      </c>
      <c r="E116" s="190">
        <f>+E117+E118</f>
        <v>667.45</v>
      </c>
      <c r="F116" s="190">
        <f>+F117+F118</f>
        <v>0</v>
      </c>
      <c r="G116" s="21">
        <f>SUM(G117:G118)</f>
        <v>8732.62</v>
      </c>
      <c r="H116" s="21">
        <f>SUM(H117:H118)</f>
        <v>513</v>
      </c>
      <c r="I116" s="32">
        <f t="shared" si="31"/>
        <v>5039.96</v>
      </c>
      <c r="J116" s="32">
        <f t="shared" si="32"/>
        <v>692.22</v>
      </c>
      <c r="K116" s="190">
        <f>+K117+K118</f>
        <v>692.22</v>
      </c>
      <c r="L116" s="190">
        <f>+L117+L118</f>
        <v>0</v>
      </c>
      <c r="M116" s="21">
        <f>SUM(M117:M119)</f>
        <v>3924.02</v>
      </c>
      <c r="N116" s="21">
        <f>SUM(N117:N119)</f>
        <v>423.72</v>
      </c>
      <c r="O116" s="202">
        <f t="shared" si="33"/>
        <v>-49.1584342691013</v>
      </c>
      <c r="P116" s="200"/>
      <c r="Q116" s="211"/>
      <c r="R116" s="175"/>
      <c r="S116" s="175"/>
      <c r="T116" s="175">
        <f t="shared" si="36"/>
        <v>0</v>
      </c>
      <c r="U116" s="210"/>
      <c r="Y116" s="213"/>
      <c r="Z116" s="213"/>
      <c r="AA116" s="214"/>
      <c r="AC116" s="175"/>
      <c r="AD116" s="175">
        <f t="shared" si="44"/>
        <v>-692.22</v>
      </c>
    </row>
    <row r="117" spans="1:32">
      <c r="A117" s="191">
        <v>21401</v>
      </c>
      <c r="B117" s="192" t="s">
        <v>189</v>
      </c>
      <c r="C117" s="32">
        <f t="shared" si="34"/>
        <v>5492.07</v>
      </c>
      <c r="D117" s="21">
        <f t="shared" si="35"/>
        <v>667.45</v>
      </c>
      <c r="E117" s="190">
        <v>667.45</v>
      </c>
      <c r="F117" s="21"/>
      <c r="G117" s="21">
        <f>4317.62+1</f>
        <v>4318.62</v>
      </c>
      <c r="H117" s="21">
        <v>506</v>
      </c>
      <c r="I117" s="32">
        <f t="shared" si="31"/>
        <v>1938.36</v>
      </c>
      <c r="J117" s="21">
        <f t="shared" si="32"/>
        <v>692.22</v>
      </c>
      <c r="K117" s="190">
        <v>692.22</v>
      </c>
      <c r="L117" s="201"/>
      <c r="M117" s="190">
        <v>822.42</v>
      </c>
      <c r="N117" s="21">
        <v>423.72</v>
      </c>
      <c r="O117" s="202">
        <f t="shared" si="33"/>
        <v>-64.7062036718396</v>
      </c>
      <c r="P117" s="204"/>
      <c r="Q117" s="211">
        <f>VLOOKUP(A117,[2]表四一般公共预算支出预算表!$A$8:$L$10000,12,0)</f>
        <v>491</v>
      </c>
      <c r="T117" s="175">
        <f t="shared" si="36"/>
        <v>0</v>
      </c>
      <c r="AC117" s="175">
        <f>VLOOKUP(A117,[4]Sheet3!$A$4:$C$66,3,0)</f>
        <v>692.218024</v>
      </c>
      <c r="AD117" s="175">
        <f t="shared" si="44"/>
        <v>-0.0019760000000133</v>
      </c>
      <c r="AF117" s="175">
        <f>+L117-AE117</f>
        <v>0</v>
      </c>
    </row>
    <row r="118" spans="1:32">
      <c r="A118" s="191">
        <v>21406</v>
      </c>
      <c r="B118" s="192" t="s">
        <v>190</v>
      </c>
      <c r="C118" s="32">
        <f t="shared" si="34"/>
        <v>4421</v>
      </c>
      <c r="D118" s="21">
        <f t="shared" si="35"/>
        <v>0</v>
      </c>
      <c r="E118" s="190"/>
      <c r="F118" s="21"/>
      <c r="G118" s="21">
        <v>4414</v>
      </c>
      <c r="H118" s="21">
        <v>7</v>
      </c>
      <c r="I118" s="32">
        <f t="shared" si="31"/>
        <v>285.82</v>
      </c>
      <c r="J118" s="21">
        <f t="shared" si="32"/>
        <v>0</v>
      </c>
      <c r="K118" s="190"/>
      <c r="L118" s="201"/>
      <c r="M118" s="190">
        <v>285.82</v>
      </c>
      <c r="N118" s="21"/>
      <c r="O118" s="202">
        <f t="shared" si="33"/>
        <v>-93.5349468446053</v>
      </c>
      <c r="P118" s="204"/>
      <c r="Q118" s="211" t="e">
        <f>VLOOKUP(A118,[2]表四一般公共预算支出预算表!$A$8:$L$10000,12,0)</f>
        <v>#REF!</v>
      </c>
      <c r="T118" s="175">
        <f t="shared" si="36"/>
        <v>0</v>
      </c>
      <c r="AD118" s="175">
        <f t="shared" si="44"/>
        <v>0</v>
      </c>
      <c r="AF118" s="175">
        <f>+L118-AE118</f>
        <v>0</v>
      </c>
    </row>
    <row r="119" spans="1:32">
      <c r="A119" s="191">
        <v>21499</v>
      </c>
      <c r="B119" s="192"/>
      <c r="C119" s="32">
        <f t="shared" si="34"/>
        <v>0</v>
      </c>
      <c r="D119" s="21">
        <f t="shared" si="35"/>
        <v>0</v>
      </c>
      <c r="E119" s="190"/>
      <c r="F119" s="21"/>
      <c r="G119" s="21"/>
      <c r="H119" s="21"/>
      <c r="I119" s="32">
        <f t="shared" si="31"/>
        <v>2815.78</v>
      </c>
      <c r="J119" s="21">
        <f t="shared" si="32"/>
        <v>0</v>
      </c>
      <c r="K119" s="190"/>
      <c r="L119" s="201"/>
      <c r="M119" s="190">
        <v>2815.78</v>
      </c>
      <c r="N119" s="21"/>
      <c r="O119" s="202">
        <f t="shared" si="33"/>
        <v>0</v>
      </c>
      <c r="P119" s="204"/>
      <c r="Q119" s="211"/>
      <c r="AD119" s="175">
        <f t="shared" si="44"/>
        <v>0</v>
      </c>
      <c r="AF119" s="175">
        <f>+L119-AE119</f>
        <v>0</v>
      </c>
    </row>
    <row r="120" s="166" customFormat="1" ht="28.95" customHeight="1" spans="1:30">
      <c r="A120" s="189" t="s">
        <v>192</v>
      </c>
      <c r="B120" s="188" t="s">
        <v>193</v>
      </c>
      <c r="C120" s="32">
        <f t="shared" si="34"/>
        <v>1762.34</v>
      </c>
      <c r="D120" s="32">
        <f t="shared" si="35"/>
        <v>262.34</v>
      </c>
      <c r="E120" s="190">
        <f>+E121+E122+E123</f>
        <v>262.34</v>
      </c>
      <c r="F120" s="190">
        <f>+F121+F122+F123</f>
        <v>0</v>
      </c>
      <c r="G120" s="21">
        <f>SUM(G121:G123)</f>
        <v>1500</v>
      </c>
      <c r="H120" s="21">
        <f>SUM(H122:H122)</f>
        <v>0</v>
      </c>
      <c r="I120" s="32">
        <f t="shared" si="31"/>
        <v>356.83</v>
      </c>
      <c r="J120" s="32">
        <f t="shared" si="32"/>
        <v>346.88</v>
      </c>
      <c r="K120" s="190">
        <f>+K121+K122+K123</f>
        <v>346.88</v>
      </c>
      <c r="L120" s="190">
        <f>+L121+L122+L123</f>
        <v>0</v>
      </c>
      <c r="M120" s="21">
        <f>SUM(M121:M123)</f>
        <v>9.95</v>
      </c>
      <c r="N120" s="21">
        <f>SUM(N122:N122)</f>
        <v>0</v>
      </c>
      <c r="O120" s="202">
        <f t="shared" si="33"/>
        <v>-79.7524881691388</v>
      </c>
      <c r="P120" s="200"/>
      <c r="Q120" s="211"/>
      <c r="R120" s="175"/>
      <c r="S120" s="175"/>
      <c r="T120" s="175">
        <f t="shared" ref="T120:T137" si="45">L120-S120</f>
        <v>0</v>
      </c>
      <c r="U120" s="210"/>
      <c r="Y120" s="213"/>
      <c r="Z120" s="213"/>
      <c r="AA120" s="214"/>
      <c r="AC120" s="175"/>
      <c r="AD120" s="175">
        <f t="shared" si="44"/>
        <v>-346.88</v>
      </c>
    </row>
    <row r="121" spans="1:32">
      <c r="A121" s="187">
        <v>21502</v>
      </c>
      <c r="B121" s="192" t="s">
        <v>194</v>
      </c>
      <c r="C121" s="32">
        <f t="shared" si="34"/>
        <v>0</v>
      </c>
      <c r="D121" s="21">
        <f t="shared" si="35"/>
        <v>0</v>
      </c>
      <c r="E121" s="190"/>
      <c r="F121" s="21"/>
      <c r="G121" s="21"/>
      <c r="H121" s="21"/>
      <c r="I121" s="32">
        <f t="shared" si="31"/>
        <v>0</v>
      </c>
      <c r="J121" s="21">
        <f t="shared" si="32"/>
        <v>0</v>
      </c>
      <c r="K121" s="190"/>
      <c r="L121" s="201"/>
      <c r="M121" s="190"/>
      <c r="N121" s="21"/>
      <c r="O121" s="202">
        <f t="shared" si="33"/>
        <v>0</v>
      </c>
      <c r="P121" s="204"/>
      <c r="Q121" s="211" t="e">
        <f>VLOOKUP(A121,[2]表四一般公共预算支出预算表!$A$8:$L$10000,12,0)</f>
        <v>#REF!</v>
      </c>
      <c r="T121" s="175">
        <f t="shared" si="45"/>
        <v>0</v>
      </c>
      <c r="AD121" s="175">
        <f t="shared" si="44"/>
        <v>0</v>
      </c>
      <c r="AF121" s="175">
        <f>+L121-AE121</f>
        <v>0</v>
      </c>
    </row>
    <row r="122" spans="1:32">
      <c r="A122" s="187">
        <v>21505</v>
      </c>
      <c r="B122" s="192" t="s">
        <v>195</v>
      </c>
      <c r="C122" s="32">
        <f t="shared" si="34"/>
        <v>262.34</v>
      </c>
      <c r="D122" s="21">
        <f t="shared" si="35"/>
        <v>262.34</v>
      </c>
      <c r="E122" s="190">
        <v>262.34</v>
      </c>
      <c r="F122" s="21"/>
      <c r="G122" s="21"/>
      <c r="H122" s="21"/>
      <c r="I122" s="32">
        <f t="shared" si="31"/>
        <v>356.83</v>
      </c>
      <c r="J122" s="21">
        <f t="shared" si="32"/>
        <v>346.88</v>
      </c>
      <c r="K122" s="190">
        <v>346.88</v>
      </c>
      <c r="L122" s="201"/>
      <c r="M122" s="190">
        <v>9.95</v>
      </c>
      <c r="N122" s="21"/>
      <c r="O122" s="202">
        <f t="shared" si="33"/>
        <v>36.0181443927727</v>
      </c>
      <c r="P122" s="204"/>
      <c r="Q122" s="211" t="e">
        <f>VLOOKUP(A122,[2]表四一般公共预算支出预算表!$A$8:$L$10000,12,0)</f>
        <v>#REF!</v>
      </c>
      <c r="T122" s="175">
        <f t="shared" si="45"/>
        <v>0</v>
      </c>
      <c r="AC122" s="175">
        <f>VLOOKUP(A122,[4]Sheet3!$A$4:$C$66,3,0)</f>
        <v>346.883988</v>
      </c>
      <c r="AD122" s="175">
        <f t="shared" si="44"/>
        <v>0.00398799999999255</v>
      </c>
      <c r="AF122" s="175">
        <f>+L122-AE122</f>
        <v>0</v>
      </c>
    </row>
    <row r="123" ht="24" spans="1:32">
      <c r="A123" s="187">
        <v>21599</v>
      </c>
      <c r="B123" s="192" t="s">
        <v>197</v>
      </c>
      <c r="C123" s="32">
        <f t="shared" si="34"/>
        <v>1500</v>
      </c>
      <c r="D123" s="21">
        <f t="shared" si="35"/>
        <v>0</v>
      </c>
      <c r="E123" s="190"/>
      <c r="F123" s="21"/>
      <c r="G123" s="21">
        <v>1500</v>
      </c>
      <c r="H123" s="21"/>
      <c r="I123" s="32">
        <f t="shared" si="31"/>
        <v>0</v>
      </c>
      <c r="J123" s="21">
        <f t="shared" si="32"/>
        <v>0</v>
      </c>
      <c r="K123" s="190"/>
      <c r="L123" s="201"/>
      <c r="M123" s="190"/>
      <c r="N123" s="21"/>
      <c r="O123" s="202">
        <f t="shared" si="33"/>
        <v>-100</v>
      </c>
      <c r="P123" s="204"/>
      <c r="Q123" s="211"/>
      <c r="T123" s="175">
        <f t="shared" si="45"/>
        <v>0</v>
      </c>
      <c r="AD123" s="175">
        <f t="shared" si="44"/>
        <v>0</v>
      </c>
      <c r="AF123" s="175">
        <f>+L123-AE123</f>
        <v>0</v>
      </c>
    </row>
    <row r="124" s="166" customFormat="1" ht="28.95" customHeight="1" spans="1:30">
      <c r="A124" s="189" t="s">
        <v>198</v>
      </c>
      <c r="B124" s="188" t="s">
        <v>199</v>
      </c>
      <c r="C124" s="32">
        <f t="shared" si="34"/>
        <v>254.23</v>
      </c>
      <c r="D124" s="32">
        <f t="shared" si="35"/>
        <v>254.23</v>
      </c>
      <c r="E124" s="190">
        <f>+E125+E126</f>
        <v>254.23</v>
      </c>
      <c r="F124" s="190">
        <f>+F125+F126</f>
        <v>0</v>
      </c>
      <c r="G124" s="21">
        <f>SUM(G125:G125)</f>
        <v>0</v>
      </c>
      <c r="H124" s="21">
        <f>SUM(H125:H125)</f>
        <v>0</v>
      </c>
      <c r="I124" s="32">
        <f t="shared" si="31"/>
        <v>218.59</v>
      </c>
      <c r="J124" s="32">
        <f t="shared" si="32"/>
        <v>218.59</v>
      </c>
      <c r="K124" s="190">
        <f>+K125+K126</f>
        <v>218.59</v>
      </c>
      <c r="L124" s="190">
        <f>+L125+L126</f>
        <v>0</v>
      </c>
      <c r="M124" s="21">
        <f>SUM(M125:M125)</f>
        <v>0</v>
      </c>
      <c r="N124" s="21">
        <f>SUM(N125:N125)</f>
        <v>0</v>
      </c>
      <c r="O124" s="202">
        <f t="shared" si="33"/>
        <v>-14.0188018723203</v>
      </c>
      <c r="P124" s="200"/>
      <c r="Q124" s="211"/>
      <c r="R124" s="175"/>
      <c r="S124" s="175"/>
      <c r="T124" s="175">
        <f t="shared" si="45"/>
        <v>0</v>
      </c>
      <c r="U124" s="210"/>
      <c r="Y124" s="213"/>
      <c r="Z124" s="213"/>
      <c r="AA124" s="214"/>
      <c r="AC124" s="175"/>
      <c r="AD124" s="175">
        <f t="shared" si="44"/>
        <v>-218.59</v>
      </c>
    </row>
    <row r="125" spans="1:32">
      <c r="A125" s="191">
        <v>21602</v>
      </c>
      <c r="B125" s="193" t="s">
        <v>200</v>
      </c>
      <c r="C125" s="32">
        <f t="shared" si="34"/>
        <v>254.23</v>
      </c>
      <c r="D125" s="21">
        <f t="shared" si="35"/>
        <v>254.23</v>
      </c>
      <c r="E125" s="190">
        <v>254.23</v>
      </c>
      <c r="F125" s="21"/>
      <c r="G125" s="21"/>
      <c r="H125" s="21"/>
      <c r="I125" s="32">
        <f t="shared" si="31"/>
        <v>218.59</v>
      </c>
      <c r="J125" s="21">
        <f t="shared" si="32"/>
        <v>218.59</v>
      </c>
      <c r="K125" s="190">
        <v>218.59</v>
      </c>
      <c r="L125" s="201"/>
      <c r="M125" s="190"/>
      <c r="N125" s="21"/>
      <c r="O125" s="202">
        <f t="shared" si="33"/>
        <v>-14.0188018723203</v>
      </c>
      <c r="P125" s="204"/>
      <c r="Q125" s="211" t="e">
        <f>VLOOKUP(A125,[2]表四一般公共预算支出预算表!$A$8:$L$10000,12,0)</f>
        <v>#REF!</v>
      </c>
      <c r="T125" s="175">
        <f t="shared" si="45"/>
        <v>0</v>
      </c>
      <c r="AC125" s="175">
        <f>VLOOKUP(A125,[4]Sheet3!$A$4:$C$66,3,0)</f>
        <v>218.59172</v>
      </c>
      <c r="AD125" s="175">
        <f t="shared" si="44"/>
        <v>0.00172000000000594</v>
      </c>
      <c r="AF125" s="175">
        <f>+L125-AE125</f>
        <v>0</v>
      </c>
    </row>
    <row r="126" spans="1:32">
      <c r="A126" s="191">
        <v>21606</v>
      </c>
      <c r="B126" s="193" t="s">
        <v>201</v>
      </c>
      <c r="C126" s="32">
        <f t="shared" si="34"/>
        <v>0</v>
      </c>
      <c r="D126" s="21">
        <f t="shared" si="35"/>
        <v>0</v>
      </c>
      <c r="E126" s="190"/>
      <c r="F126" s="21"/>
      <c r="G126" s="21"/>
      <c r="H126" s="21"/>
      <c r="I126" s="32">
        <f t="shared" si="31"/>
        <v>0</v>
      </c>
      <c r="J126" s="21">
        <f t="shared" si="32"/>
        <v>0</v>
      </c>
      <c r="K126" s="190"/>
      <c r="L126" s="201"/>
      <c r="M126" s="190"/>
      <c r="N126" s="21"/>
      <c r="O126" s="202">
        <f t="shared" si="33"/>
        <v>0</v>
      </c>
      <c r="P126" s="204"/>
      <c r="Q126" s="211" t="e">
        <f>VLOOKUP(A126,[2]表四一般公共预算支出预算表!$A$8:$L$10000,12,0)</f>
        <v>#REF!</v>
      </c>
      <c r="T126" s="175">
        <f t="shared" si="45"/>
        <v>0</v>
      </c>
      <c r="AD126" s="175">
        <f t="shared" si="44"/>
        <v>0</v>
      </c>
      <c r="AF126" s="175">
        <f>+L126-AE126</f>
        <v>0</v>
      </c>
    </row>
    <row r="127" s="166" customFormat="1" ht="28.95" customHeight="1" spans="1:30">
      <c r="A127" s="189" t="s">
        <v>203</v>
      </c>
      <c r="B127" s="217" t="s">
        <v>204</v>
      </c>
      <c r="C127" s="32">
        <f t="shared" si="34"/>
        <v>1277</v>
      </c>
      <c r="D127" s="32">
        <f t="shared" si="35"/>
        <v>0</v>
      </c>
      <c r="E127" s="190">
        <f>+E128</f>
        <v>0</v>
      </c>
      <c r="F127" s="21"/>
      <c r="G127" s="21">
        <f>G128</f>
        <v>1277</v>
      </c>
      <c r="H127" s="21"/>
      <c r="I127" s="32">
        <f t="shared" si="31"/>
        <v>2529.04</v>
      </c>
      <c r="J127" s="32">
        <f t="shared" si="32"/>
        <v>0</v>
      </c>
      <c r="K127" s="190">
        <f>+K128</f>
        <v>0</v>
      </c>
      <c r="L127" s="21"/>
      <c r="M127" s="21">
        <f>M128</f>
        <v>2529.04</v>
      </c>
      <c r="N127" s="21"/>
      <c r="O127" s="202">
        <f t="shared" si="33"/>
        <v>98.0454189506656</v>
      </c>
      <c r="P127" s="218"/>
      <c r="Q127" s="211"/>
      <c r="S127" s="175"/>
      <c r="T127" s="175">
        <f t="shared" si="45"/>
        <v>0</v>
      </c>
      <c r="U127" s="210"/>
      <c r="Y127" s="213"/>
      <c r="Z127" s="213"/>
      <c r="AA127" s="214"/>
      <c r="AC127" s="175"/>
      <c r="AD127" s="175">
        <f t="shared" si="44"/>
        <v>0</v>
      </c>
    </row>
    <row r="128" spans="1:32">
      <c r="A128" s="191">
        <v>21703</v>
      </c>
      <c r="B128" s="193" t="s">
        <v>205</v>
      </c>
      <c r="C128" s="32">
        <f t="shared" si="34"/>
        <v>1277</v>
      </c>
      <c r="D128" s="21">
        <f t="shared" si="35"/>
        <v>0</v>
      </c>
      <c r="E128" s="190"/>
      <c r="F128" s="21"/>
      <c r="G128" s="21">
        <f>10+1247+20</f>
        <v>1277</v>
      </c>
      <c r="H128" s="21"/>
      <c r="I128" s="32">
        <f t="shared" si="31"/>
        <v>2529.04</v>
      </c>
      <c r="J128" s="21">
        <f t="shared" si="32"/>
        <v>0</v>
      </c>
      <c r="K128" s="190"/>
      <c r="L128" s="201"/>
      <c r="M128" s="190">
        <v>2529.04</v>
      </c>
      <c r="N128" s="21"/>
      <c r="O128" s="202">
        <f t="shared" si="33"/>
        <v>98.0454189506656</v>
      </c>
      <c r="P128" s="204"/>
      <c r="Q128" s="211" t="e">
        <f>VLOOKUP(A128,[2]表四一般公共预算支出预算表!$A$8:$L$10000,12,0)</f>
        <v>#REF!</v>
      </c>
      <c r="T128" s="175">
        <f t="shared" si="45"/>
        <v>0</v>
      </c>
      <c r="AD128" s="175">
        <f t="shared" si="44"/>
        <v>0</v>
      </c>
      <c r="AF128" s="175">
        <f>+L128-AE128</f>
        <v>0</v>
      </c>
    </row>
    <row r="129" s="166" customFormat="1" ht="28.95" customHeight="1" spans="1:30">
      <c r="A129" s="189" t="s">
        <v>207</v>
      </c>
      <c r="B129" s="188" t="s">
        <v>208</v>
      </c>
      <c r="C129" s="32">
        <f t="shared" si="34"/>
        <v>2243.01</v>
      </c>
      <c r="D129" s="32">
        <f t="shared" si="35"/>
        <v>1135.8</v>
      </c>
      <c r="E129" s="190">
        <f t="shared" ref="E129:H129" si="46">SUM(E130:E131)</f>
        <v>1107.76</v>
      </c>
      <c r="F129" s="190">
        <f t="shared" si="46"/>
        <v>28.04</v>
      </c>
      <c r="G129" s="21">
        <f t="shared" si="46"/>
        <v>863.19</v>
      </c>
      <c r="H129" s="21">
        <f t="shared" si="46"/>
        <v>244.02</v>
      </c>
      <c r="I129" s="32">
        <f t="shared" si="31"/>
        <v>4869.6107</v>
      </c>
      <c r="J129" s="32">
        <f t="shared" si="32"/>
        <v>1161.5807</v>
      </c>
      <c r="K129" s="190">
        <f>SUM(K130:K131)</f>
        <v>1130.99</v>
      </c>
      <c r="L129" s="190">
        <f t="shared" ref="K129:N129" si="47">SUM(L130:L131)</f>
        <v>30.5907</v>
      </c>
      <c r="M129" s="21">
        <f t="shared" si="47"/>
        <v>3708.03</v>
      </c>
      <c r="N129" s="21">
        <f t="shared" si="47"/>
        <v>0</v>
      </c>
      <c r="O129" s="202">
        <f t="shared" si="33"/>
        <v>117.101604540327</v>
      </c>
      <c r="P129" s="200"/>
      <c r="Q129" s="211"/>
      <c r="R129" s="175"/>
      <c r="S129" s="212"/>
      <c r="T129" s="212">
        <f t="shared" si="45"/>
        <v>30.5907</v>
      </c>
      <c r="U129" s="210"/>
      <c r="Y129" s="213"/>
      <c r="Z129" s="213"/>
      <c r="AA129" s="214"/>
      <c r="AC129" s="175"/>
      <c r="AD129" s="175">
        <f t="shared" si="44"/>
        <v>-1130.99</v>
      </c>
    </row>
    <row r="130" spans="1:32">
      <c r="A130" s="191">
        <v>22001</v>
      </c>
      <c r="B130" s="193" t="s">
        <v>209</v>
      </c>
      <c r="C130" s="32">
        <f t="shared" si="34"/>
        <v>2180.52</v>
      </c>
      <c r="D130" s="21">
        <f t="shared" si="35"/>
        <v>1073.31</v>
      </c>
      <c r="E130" s="190">
        <v>1073.31</v>
      </c>
      <c r="F130" s="21"/>
      <c r="G130" s="21">
        <v>863.19</v>
      </c>
      <c r="H130" s="21">
        <v>244.02</v>
      </c>
      <c r="I130" s="32">
        <f t="shared" si="31"/>
        <v>4803.36</v>
      </c>
      <c r="J130" s="21">
        <f t="shared" si="32"/>
        <v>1095.33</v>
      </c>
      <c r="K130" s="190">
        <v>1095.33</v>
      </c>
      <c r="L130" s="201"/>
      <c r="M130" s="190">
        <v>3708.03</v>
      </c>
      <c r="N130" s="21"/>
      <c r="O130" s="202">
        <f t="shared" si="33"/>
        <v>120.285069616422</v>
      </c>
      <c r="P130" s="204"/>
      <c r="Q130" s="211" t="e">
        <f>VLOOKUP(A130,[2]表四一般公共预算支出预算表!$A$8:$L$10000,12,0)</f>
        <v>#REF!</v>
      </c>
      <c r="S130" s="175">
        <f>VLOOKUP(A130,[3]Sheet1!$A$4:$C$61,3,0)</f>
        <v>0</v>
      </c>
      <c r="T130" s="175">
        <f t="shared" si="45"/>
        <v>0</v>
      </c>
      <c r="AC130" s="175">
        <f>VLOOKUP(A130,[4]Sheet3!$A$4:$C$66,3,0)</f>
        <v>1095.331021</v>
      </c>
      <c r="AD130" s="175">
        <f t="shared" si="44"/>
        <v>0.00102100000003702</v>
      </c>
      <c r="AF130" s="175">
        <f>+L130-AE130</f>
        <v>0</v>
      </c>
    </row>
    <row r="131" s="166" customFormat="1" ht="32" customHeight="1" spans="1:34">
      <c r="A131" s="191">
        <v>22005</v>
      </c>
      <c r="B131" s="193" t="s">
        <v>210</v>
      </c>
      <c r="C131" s="32">
        <f t="shared" si="34"/>
        <v>62.49</v>
      </c>
      <c r="D131" s="21">
        <f t="shared" si="35"/>
        <v>62.49</v>
      </c>
      <c r="E131" s="190">
        <v>34.45</v>
      </c>
      <c r="F131" s="21">
        <v>28.04</v>
      </c>
      <c r="G131" s="21"/>
      <c r="H131" s="21"/>
      <c r="I131" s="32">
        <f t="shared" si="31"/>
        <v>66.2507</v>
      </c>
      <c r="J131" s="21">
        <f t="shared" si="32"/>
        <v>66.2507</v>
      </c>
      <c r="K131" s="190">
        <v>35.66</v>
      </c>
      <c r="L131" s="201">
        <v>30.5907</v>
      </c>
      <c r="M131" s="190"/>
      <c r="N131" s="21"/>
      <c r="O131" s="202">
        <f t="shared" si="33"/>
        <v>6.01808289326291</v>
      </c>
      <c r="P131" s="204" t="s">
        <v>358</v>
      </c>
      <c r="Q131" s="211" t="e">
        <f>VLOOKUP(A131,[2]表四一般公共预算支出预算表!$A$8:$L$10000,12,0)</f>
        <v>#REF!</v>
      </c>
      <c r="R131" s="175"/>
      <c r="S131" s="212"/>
      <c r="T131" s="212">
        <f t="shared" si="45"/>
        <v>30.5907</v>
      </c>
      <c r="U131" s="175"/>
      <c r="AA131" s="214"/>
      <c r="AC131" s="175">
        <f>VLOOKUP(A131,[4]Sheet3!$A$4:$C$66,3,0)</f>
        <v>35.661214</v>
      </c>
      <c r="AD131" s="175">
        <f t="shared" si="44"/>
        <v>0.00121400000000449</v>
      </c>
      <c r="AE131" s="175" t="e">
        <v>#N/A</v>
      </c>
      <c r="AF131" s="175" t="e">
        <f>+L131-AE131</f>
        <v>#N/A</v>
      </c>
      <c r="AG131" s="175"/>
      <c r="AH131" s="175"/>
    </row>
    <row r="132" s="166" customFormat="1" ht="28.95" customHeight="1" spans="1:30">
      <c r="A132" s="189" t="s">
        <v>211</v>
      </c>
      <c r="B132" s="188" t="s">
        <v>212</v>
      </c>
      <c r="C132" s="32">
        <f t="shared" si="34"/>
        <v>9936.69</v>
      </c>
      <c r="D132" s="32">
        <f t="shared" si="35"/>
        <v>9619.8</v>
      </c>
      <c r="E132" s="190">
        <f t="shared" ref="E132:H132" si="48">SUM(E133:E134)</f>
        <v>9619.8</v>
      </c>
      <c r="F132" s="190">
        <f t="shared" si="48"/>
        <v>0</v>
      </c>
      <c r="G132" s="21">
        <f t="shared" si="48"/>
        <v>219.39</v>
      </c>
      <c r="H132" s="21">
        <f t="shared" si="48"/>
        <v>97.5</v>
      </c>
      <c r="I132" s="32">
        <f t="shared" si="31"/>
        <v>10303.39</v>
      </c>
      <c r="J132" s="32">
        <f t="shared" si="32"/>
        <v>9082.99</v>
      </c>
      <c r="K132" s="190">
        <f>SUM(K133:K134)</f>
        <v>9082.99</v>
      </c>
      <c r="L132" s="190">
        <f t="shared" ref="K132:N132" si="49">SUM(L133:L134)</f>
        <v>0</v>
      </c>
      <c r="M132" s="21">
        <f t="shared" si="49"/>
        <v>84.43</v>
      </c>
      <c r="N132" s="21">
        <f t="shared" si="49"/>
        <v>1135.97</v>
      </c>
      <c r="O132" s="202">
        <f t="shared" si="33"/>
        <v>3.69036369253746</v>
      </c>
      <c r="P132" s="200"/>
      <c r="Q132" s="211"/>
      <c r="R132" s="175"/>
      <c r="S132" s="175"/>
      <c r="T132" s="175">
        <f t="shared" si="45"/>
        <v>0</v>
      </c>
      <c r="U132" s="210"/>
      <c r="Y132" s="213"/>
      <c r="Z132" s="213"/>
      <c r="AA132" s="214"/>
      <c r="AC132" s="175"/>
      <c r="AD132" s="175">
        <f t="shared" si="44"/>
        <v>-9082.99</v>
      </c>
    </row>
    <row r="133" s="166" customFormat="1" spans="1:34">
      <c r="A133" s="191">
        <v>22101</v>
      </c>
      <c r="B133" s="193" t="s">
        <v>213</v>
      </c>
      <c r="C133" s="32">
        <f t="shared" si="34"/>
        <v>316.89</v>
      </c>
      <c r="D133" s="21">
        <f t="shared" si="35"/>
        <v>0</v>
      </c>
      <c r="E133" s="190"/>
      <c r="F133" s="21"/>
      <c r="G133" s="21">
        <f>1188.18-1150.23+181.44</f>
        <v>219.39</v>
      </c>
      <c r="H133" s="21">
        <v>97.5</v>
      </c>
      <c r="I133" s="32">
        <f t="shared" ref="I133:I152" si="50">K133+L133+M133+N133</f>
        <v>1220.4</v>
      </c>
      <c r="J133" s="21">
        <f t="shared" ref="J133:J152" si="51">K133+L133</f>
        <v>0</v>
      </c>
      <c r="K133" s="190"/>
      <c r="L133" s="201"/>
      <c r="M133" s="190">
        <v>84.43</v>
      </c>
      <c r="N133" s="21">
        <v>1135.97</v>
      </c>
      <c r="O133" s="202">
        <f t="shared" ref="O133:O152" si="52">IFERROR((I133-C133)/C133*100,0)</f>
        <v>285.117864243113</v>
      </c>
      <c r="P133" s="204"/>
      <c r="Q133" s="211">
        <f>VLOOKUP(A133,[2]表四一般公共预算支出预算表!$A$8:$L$10000,12,0)</f>
        <v>237.91</v>
      </c>
      <c r="S133" s="175"/>
      <c r="T133" s="175">
        <f t="shared" si="45"/>
        <v>0</v>
      </c>
      <c r="U133" s="175"/>
      <c r="AA133" s="214"/>
      <c r="AC133" s="175"/>
      <c r="AD133" s="175">
        <f t="shared" si="44"/>
        <v>0</v>
      </c>
      <c r="AE133" s="175"/>
      <c r="AF133" s="175">
        <f>+L133-AE133</f>
        <v>0</v>
      </c>
      <c r="AG133" s="175"/>
      <c r="AH133" s="175"/>
    </row>
    <row r="134" spans="1:32">
      <c r="A134" s="191">
        <v>22102</v>
      </c>
      <c r="B134" s="193" t="s">
        <v>214</v>
      </c>
      <c r="C134" s="32">
        <f t="shared" si="34"/>
        <v>9619.8</v>
      </c>
      <c r="D134" s="21">
        <f t="shared" si="35"/>
        <v>9619.8</v>
      </c>
      <c r="E134" s="190">
        <f>7619.8+2000</f>
        <v>9619.8</v>
      </c>
      <c r="F134" s="21"/>
      <c r="G134" s="21"/>
      <c r="H134" s="21"/>
      <c r="I134" s="32">
        <f t="shared" si="50"/>
        <v>9082.99</v>
      </c>
      <c r="J134" s="21">
        <f t="shared" si="51"/>
        <v>9082.99</v>
      </c>
      <c r="K134" s="190">
        <v>9082.99</v>
      </c>
      <c r="L134" s="201"/>
      <c r="M134" s="190"/>
      <c r="N134" s="21"/>
      <c r="O134" s="202">
        <f t="shared" si="52"/>
        <v>-5.58026154389904</v>
      </c>
      <c r="P134" s="204"/>
      <c r="Q134" s="211" t="e">
        <f>VLOOKUP(A134,[2]表四一般公共预算支出预算表!$A$8:$L$10000,12,0)</f>
        <v>#REF!</v>
      </c>
      <c r="T134" s="175">
        <f t="shared" si="45"/>
        <v>0</v>
      </c>
      <c r="AC134" s="175">
        <f>VLOOKUP(A134,[4]Sheet3!$A$4:$C$66,3,0)</f>
        <v>9080.64307100001</v>
      </c>
      <c r="AD134" s="175">
        <f t="shared" si="44"/>
        <v>-2.34692899999027</v>
      </c>
      <c r="AF134" s="175">
        <f>+L134-AE134</f>
        <v>0</v>
      </c>
    </row>
    <row r="135" s="166" customFormat="1" ht="28.95" customHeight="1" spans="1:30">
      <c r="A135" s="189" t="s">
        <v>216</v>
      </c>
      <c r="B135" s="188" t="s">
        <v>217</v>
      </c>
      <c r="C135" s="32">
        <f t="shared" si="34"/>
        <v>961.78</v>
      </c>
      <c r="D135" s="32">
        <f t="shared" si="35"/>
        <v>138.09</v>
      </c>
      <c r="E135" s="190">
        <f>+E136+E137</f>
        <v>38.09</v>
      </c>
      <c r="F135" s="190">
        <f>+F136+F137</f>
        <v>100</v>
      </c>
      <c r="G135" s="21">
        <f>SUM(G136:G137)</f>
        <v>550</v>
      </c>
      <c r="H135" s="21">
        <f>SUM(H136:H137)</f>
        <v>273.69</v>
      </c>
      <c r="I135" s="32">
        <f t="shared" si="50"/>
        <v>1400.82</v>
      </c>
      <c r="J135" s="32">
        <f t="shared" si="51"/>
        <v>168.86</v>
      </c>
      <c r="K135" s="190">
        <f>+K136+K137+K138</f>
        <v>61.86</v>
      </c>
      <c r="L135" s="190">
        <f>+L136+L137+L138</f>
        <v>107</v>
      </c>
      <c r="M135" s="21">
        <f>SUM(M136:M138)</f>
        <v>1025.95</v>
      </c>
      <c r="N135" s="21">
        <f>SUM(N136:N138)</f>
        <v>206.01</v>
      </c>
      <c r="O135" s="202">
        <f t="shared" si="52"/>
        <v>45.6486930483063</v>
      </c>
      <c r="P135" s="200"/>
      <c r="Q135" s="211"/>
      <c r="R135" s="175"/>
      <c r="S135" s="212"/>
      <c r="T135" s="212">
        <f t="shared" si="45"/>
        <v>107</v>
      </c>
      <c r="U135" s="210"/>
      <c r="Y135" s="213"/>
      <c r="Z135" s="213"/>
      <c r="AA135" s="214"/>
      <c r="AC135" s="175"/>
      <c r="AD135" s="175">
        <f t="shared" si="44"/>
        <v>-61.86</v>
      </c>
    </row>
    <row r="136" ht="88" customHeight="1" spans="1:32">
      <c r="A136" s="191">
        <v>22201</v>
      </c>
      <c r="B136" s="193" t="s">
        <v>218</v>
      </c>
      <c r="C136" s="32">
        <f t="shared" si="34"/>
        <v>141.78</v>
      </c>
      <c r="D136" s="21">
        <f t="shared" si="35"/>
        <v>138.09</v>
      </c>
      <c r="E136" s="190">
        <v>38.09</v>
      </c>
      <c r="F136" s="21">
        <v>100</v>
      </c>
      <c r="G136" s="21"/>
      <c r="H136" s="21">
        <v>3.69</v>
      </c>
      <c r="I136" s="32">
        <f t="shared" si="50"/>
        <v>172.56</v>
      </c>
      <c r="J136" s="21">
        <f t="shared" si="51"/>
        <v>168.86</v>
      </c>
      <c r="K136" s="190">
        <v>61.86</v>
      </c>
      <c r="L136" s="201">
        <v>107</v>
      </c>
      <c r="M136" s="190"/>
      <c r="N136" s="21">
        <v>3.7</v>
      </c>
      <c r="O136" s="202">
        <f t="shared" si="52"/>
        <v>21.7096910706729</v>
      </c>
      <c r="P136" s="204" t="s">
        <v>359</v>
      </c>
      <c r="Q136" s="211" t="e">
        <f>VLOOKUP(A136,[2]表四一般公共预算支出预算表!$A$8:$L$10000,12,0)</f>
        <v>#REF!</v>
      </c>
      <c r="S136" s="175">
        <f>VLOOKUP(A136,[3]Sheet1!$A$4:$C$61,3,0)</f>
        <v>100</v>
      </c>
      <c r="T136" s="175">
        <f t="shared" si="45"/>
        <v>7</v>
      </c>
      <c r="AC136" s="175">
        <f>VLOOKUP(A136,[4]Sheet3!$A$4:$C$66,3,0)</f>
        <v>61.858016</v>
      </c>
      <c r="AD136" s="175">
        <f t="shared" si="44"/>
        <v>-0.00198400000000021</v>
      </c>
      <c r="AE136" s="175">
        <v>107</v>
      </c>
      <c r="AF136" s="175">
        <f>+L136-AE136</f>
        <v>0</v>
      </c>
    </row>
    <row r="137" spans="1:32">
      <c r="A137" s="191">
        <v>22204</v>
      </c>
      <c r="B137" s="193" t="s">
        <v>219</v>
      </c>
      <c r="C137" s="32">
        <f t="shared" si="34"/>
        <v>820</v>
      </c>
      <c r="D137" s="21">
        <f t="shared" si="35"/>
        <v>0</v>
      </c>
      <c r="E137" s="190"/>
      <c r="F137" s="21"/>
      <c r="G137" s="21">
        <v>550</v>
      </c>
      <c r="H137" s="21">
        <v>270</v>
      </c>
      <c r="I137" s="32">
        <f t="shared" si="50"/>
        <v>1117</v>
      </c>
      <c r="J137" s="21">
        <f t="shared" si="51"/>
        <v>0</v>
      </c>
      <c r="K137" s="190"/>
      <c r="L137" s="201"/>
      <c r="M137" s="190">
        <v>967</v>
      </c>
      <c r="N137" s="21">
        <v>150</v>
      </c>
      <c r="O137" s="202">
        <f t="shared" si="52"/>
        <v>36.219512195122</v>
      </c>
      <c r="P137" s="204"/>
      <c r="Q137" s="211" t="e">
        <f>VLOOKUP(A137,[2]表四一般公共预算支出预算表!$A$8:$L$10000,12,0)</f>
        <v>#REF!</v>
      </c>
      <c r="T137" s="175">
        <f t="shared" si="45"/>
        <v>0</v>
      </c>
      <c r="AD137" s="175">
        <f t="shared" si="44"/>
        <v>0</v>
      </c>
      <c r="AF137" s="175">
        <f>+L137-AE137</f>
        <v>0</v>
      </c>
    </row>
    <row r="138" spans="1:32">
      <c r="A138" s="191">
        <v>22205</v>
      </c>
      <c r="B138" s="193" t="s">
        <v>360</v>
      </c>
      <c r="C138" s="32">
        <f t="shared" si="34"/>
        <v>0</v>
      </c>
      <c r="D138" s="21">
        <f t="shared" si="35"/>
        <v>0</v>
      </c>
      <c r="E138" s="190"/>
      <c r="F138" s="21"/>
      <c r="G138" s="21"/>
      <c r="H138" s="21"/>
      <c r="I138" s="32">
        <f t="shared" si="50"/>
        <v>111.26</v>
      </c>
      <c r="J138" s="21">
        <f t="shared" si="51"/>
        <v>0</v>
      </c>
      <c r="K138" s="190"/>
      <c r="L138" s="201"/>
      <c r="M138" s="190">
        <v>58.95</v>
      </c>
      <c r="N138" s="21">
        <v>52.31</v>
      </c>
      <c r="O138" s="202">
        <f t="shared" si="52"/>
        <v>0</v>
      </c>
      <c r="P138" s="204"/>
      <c r="Q138" s="211"/>
      <c r="AD138" s="175">
        <f t="shared" si="44"/>
        <v>0</v>
      </c>
      <c r="AF138" s="175">
        <f>+L138-AE138</f>
        <v>0</v>
      </c>
    </row>
    <row r="139" s="166" customFormat="1" ht="28.95" customHeight="1" spans="1:30">
      <c r="A139" s="189" t="s">
        <v>220</v>
      </c>
      <c r="B139" s="188" t="s">
        <v>221</v>
      </c>
      <c r="C139" s="32">
        <f t="shared" si="34"/>
        <v>2734.88</v>
      </c>
      <c r="D139" s="32">
        <f t="shared" si="35"/>
        <v>1457.95</v>
      </c>
      <c r="E139" s="190">
        <f t="shared" ref="E139:H139" si="53">SUM(E140:E146)</f>
        <v>623.95</v>
      </c>
      <c r="F139" s="190">
        <f t="shared" si="53"/>
        <v>834</v>
      </c>
      <c r="G139" s="21">
        <f t="shared" si="53"/>
        <v>542.93</v>
      </c>
      <c r="H139" s="21">
        <f t="shared" si="53"/>
        <v>734</v>
      </c>
      <c r="I139" s="32">
        <f t="shared" si="50"/>
        <v>2825.85</v>
      </c>
      <c r="J139" s="32">
        <f t="shared" si="51"/>
        <v>1690.27</v>
      </c>
      <c r="K139" s="190">
        <f>SUM(K140:K146)</f>
        <v>674.47</v>
      </c>
      <c r="L139" s="190">
        <f t="shared" ref="K139:N139" si="54">SUM(L140:L146)</f>
        <v>1015.8</v>
      </c>
      <c r="M139" s="21">
        <f t="shared" si="54"/>
        <v>1096.29</v>
      </c>
      <c r="N139" s="21">
        <f t="shared" si="54"/>
        <v>39.29</v>
      </c>
      <c r="O139" s="202">
        <f t="shared" si="52"/>
        <v>3.32628853916807</v>
      </c>
      <c r="P139" s="218"/>
      <c r="Q139" s="211"/>
      <c r="R139" s="175"/>
      <c r="S139" s="212"/>
      <c r="T139" s="212">
        <f t="shared" ref="T139:T152" si="55">L139-S139</f>
        <v>1015.8</v>
      </c>
      <c r="U139" s="210"/>
      <c r="Y139" s="213"/>
      <c r="Z139" s="213"/>
      <c r="AA139" s="214"/>
      <c r="AC139" s="175"/>
      <c r="AD139" s="175">
        <f t="shared" si="44"/>
        <v>-674.47</v>
      </c>
    </row>
    <row r="140" ht="36" customHeight="1" spans="1:32">
      <c r="A140" s="191">
        <v>22401</v>
      </c>
      <c r="B140" s="193" t="s">
        <v>222</v>
      </c>
      <c r="C140" s="32">
        <f t="shared" si="34"/>
        <v>853.95</v>
      </c>
      <c r="D140" s="21">
        <f t="shared" si="35"/>
        <v>838.95</v>
      </c>
      <c r="E140" s="190">
        <v>623.95</v>
      </c>
      <c r="F140" s="21">
        <v>215</v>
      </c>
      <c r="G140" s="21">
        <v>15</v>
      </c>
      <c r="H140" s="21"/>
      <c r="I140" s="32">
        <f t="shared" si="50"/>
        <v>892.47</v>
      </c>
      <c r="J140" s="21">
        <f t="shared" si="51"/>
        <v>877.47</v>
      </c>
      <c r="K140" s="190">
        <v>674.47</v>
      </c>
      <c r="L140" s="201">
        <v>203</v>
      </c>
      <c r="M140" s="190">
        <v>15</v>
      </c>
      <c r="N140" s="21"/>
      <c r="O140" s="202">
        <f t="shared" si="52"/>
        <v>4.51080274020727</v>
      </c>
      <c r="P140" s="204" t="s">
        <v>361</v>
      </c>
      <c r="Q140" s="211" t="e">
        <f>VLOOKUP(A140,[2]表四一般公共预算支出预算表!$A$8:$L$10000,12,0)</f>
        <v>#REF!</v>
      </c>
      <c r="S140" s="175">
        <f>VLOOKUP(A140,[3]Sheet1!$A$4:$C$61,3,0)</f>
        <v>215</v>
      </c>
      <c r="T140" s="175">
        <f t="shared" si="55"/>
        <v>-12</v>
      </c>
      <c r="AC140" s="175">
        <f>VLOOKUP(A140,[4]Sheet3!$A$4:$C$66,3,0)</f>
        <v>674.468836</v>
      </c>
      <c r="AD140" s="175">
        <f t="shared" si="44"/>
        <v>-0.00116400000001704</v>
      </c>
      <c r="AE140" s="175">
        <v>203</v>
      </c>
      <c r="AF140" s="175">
        <f t="shared" ref="AF140:AF146" si="56">+L140-AE140</f>
        <v>0</v>
      </c>
    </row>
    <row r="141" ht="77" customHeight="1" spans="1:32">
      <c r="A141" s="191">
        <v>22402</v>
      </c>
      <c r="B141" s="193" t="s">
        <v>223</v>
      </c>
      <c r="C141" s="32">
        <f t="shared" si="34"/>
        <v>617</v>
      </c>
      <c r="D141" s="21">
        <f t="shared" si="35"/>
        <v>617</v>
      </c>
      <c r="E141" s="190"/>
      <c r="F141" s="21">
        <v>617</v>
      </c>
      <c r="G141" s="21"/>
      <c r="H141" s="21"/>
      <c r="I141" s="32">
        <f t="shared" si="50"/>
        <v>810.8</v>
      </c>
      <c r="J141" s="21">
        <f t="shared" si="51"/>
        <v>810.8</v>
      </c>
      <c r="K141" s="190"/>
      <c r="L141" s="201">
        <f>770.8+40</f>
        <v>810.8</v>
      </c>
      <c r="M141" s="190"/>
      <c r="N141" s="21"/>
      <c r="O141" s="202">
        <f t="shared" si="52"/>
        <v>31.4100486223663</v>
      </c>
      <c r="P141" s="204" t="s">
        <v>362</v>
      </c>
      <c r="Q141" s="211" t="e">
        <f>VLOOKUP(A141,[2]表四一般公共预算支出预算表!$A$8:$L$10000,12,0)</f>
        <v>#REF!</v>
      </c>
      <c r="S141" s="212">
        <f>VLOOKUP(A141,[3]Sheet1!$A$4:$C$61,3,0)</f>
        <v>0</v>
      </c>
      <c r="T141" s="212">
        <f t="shared" si="55"/>
        <v>810.8</v>
      </c>
      <c r="AD141" s="175">
        <f t="shared" si="44"/>
        <v>0</v>
      </c>
      <c r="AE141" s="175" t="e">
        <v>#N/A</v>
      </c>
      <c r="AF141" s="175" t="e">
        <f t="shared" si="56"/>
        <v>#N/A</v>
      </c>
    </row>
    <row r="142" spans="1:32">
      <c r="A142" s="191">
        <v>22403</v>
      </c>
      <c r="B142" s="193" t="s">
        <v>224</v>
      </c>
      <c r="C142" s="32">
        <f t="shared" si="34"/>
        <v>0</v>
      </c>
      <c r="D142" s="21">
        <f t="shared" si="35"/>
        <v>0</v>
      </c>
      <c r="E142" s="190"/>
      <c r="F142" s="21"/>
      <c r="G142" s="21"/>
      <c r="H142" s="21"/>
      <c r="I142" s="32">
        <f t="shared" si="50"/>
        <v>0</v>
      </c>
      <c r="J142" s="21">
        <f t="shared" si="51"/>
        <v>0</v>
      </c>
      <c r="K142" s="190"/>
      <c r="L142" s="201"/>
      <c r="M142" s="190"/>
      <c r="N142" s="21"/>
      <c r="O142" s="202">
        <f t="shared" si="52"/>
        <v>0</v>
      </c>
      <c r="P142" s="204"/>
      <c r="Q142" s="211" t="e">
        <f>VLOOKUP(A142,[2]表四一般公共预算支出预算表!$A$8:$L$10000,12,0)</f>
        <v>#REF!</v>
      </c>
      <c r="T142" s="175">
        <f t="shared" si="55"/>
        <v>0</v>
      </c>
      <c r="AD142" s="175">
        <f t="shared" si="44"/>
        <v>0</v>
      </c>
      <c r="AF142" s="175">
        <f t="shared" si="56"/>
        <v>0</v>
      </c>
    </row>
    <row r="143" spans="1:32">
      <c r="A143" s="191">
        <v>22405</v>
      </c>
      <c r="B143" s="193" t="s">
        <v>225</v>
      </c>
      <c r="C143" s="32">
        <f t="shared" si="34"/>
        <v>0</v>
      </c>
      <c r="D143" s="21">
        <f t="shared" si="35"/>
        <v>0</v>
      </c>
      <c r="E143" s="190"/>
      <c r="F143" s="21"/>
      <c r="G143" s="21"/>
      <c r="H143" s="21"/>
      <c r="I143" s="32">
        <f t="shared" si="50"/>
        <v>0</v>
      </c>
      <c r="J143" s="21">
        <f t="shared" si="51"/>
        <v>0</v>
      </c>
      <c r="K143" s="190"/>
      <c r="L143" s="201"/>
      <c r="M143" s="190"/>
      <c r="N143" s="21"/>
      <c r="O143" s="202">
        <f t="shared" si="52"/>
        <v>0</v>
      </c>
      <c r="P143" s="204"/>
      <c r="Q143" s="211" t="e">
        <f>VLOOKUP(A143,[2]表四一般公共预算支出预算表!$A$8:$L$10000,12,0)</f>
        <v>#REF!</v>
      </c>
      <c r="T143" s="175">
        <f t="shared" si="55"/>
        <v>0</v>
      </c>
      <c r="AD143" s="175">
        <f t="shared" si="44"/>
        <v>0</v>
      </c>
      <c r="AF143" s="175">
        <f t="shared" si="56"/>
        <v>0</v>
      </c>
    </row>
    <row r="144" spans="1:32">
      <c r="A144" s="191">
        <v>22406</v>
      </c>
      <c r="B144" s="193" t="s">
        <v>226</v>
      </c>
      <c r="C144" s="32">
        <f t="shared" si="34"/>
        <v>526.93</v>
      </c>
      <c r="D144" s="21">
        <f t="shared" si="35"/>
        <v>0</v>
      </c>
      <c r="E144" s="190"/>
      <c r="F144" s="21"/>
      <c r="G144" s="21">
        <v>492.93</v>
      </c>
      <c r="H144" s="21">
        <v>34</v>
      </c>
      <c r="I144" s="32">
        <f t="shared" si="50"/>
        <v>321.35</v>
      </c>
      <c r="J144" s="21">
        <f t="shared" si="51"/>
        <v>0</v>
      </c>
      <c r="K144" s="190"/>
      <c r="L144" s="201"/>
      <c r="M144" s="190">
        <v>282.06</v>
      </c>
      <c r="N144" s="21">
        <v>39.29</v>
      </c>
      <c r="O144" s="202">
        <f t="shared" si="52"/>
        <v>-39.0146698802498</v>
      </c>
      <c r="P144" s="204"/>
      <c r="Q144" s="211" t="e">
        <f>VLOOKUP(A144,[2]表四一般公共预算支出预算表!$A$8:$L$10000,12,0)</f>
        <v>#REF!</v>
      </c>
      <c r="T144" s="175">
        <f t="shared" si="55"/>
        <v>0</v>
      </c>
      <c r="AD144" s="175">
        <f t="shared" si="44"/>
        <v>0</v>
      </c>
      <c r="AF144" s="175">
        <f t="shared" si="56"/>
        <v>0</v>
      </c>
    </row>
    <row r="145" ht="44" customHeight="1" spans="1:32">
      <c r="A145" s="191">
        <v>22407</v>
      </c>
      <c r="B145" s="193" t="s">
        <v>227</v>
      </c>
      <c r="C145" s="32">
        <f t="shared" si="34"/>
        <v>37</v>
      </c>
      <c r="D145" s="21">
        <f t="shared" si="35"/>
        <v>2</v>
      </c>
      <c r="E145" s="190"/>
      <c r="F145" s="220">
        <v>2</v>
      </c>
      <c r="G145" s="21">
        <v>35</v>
      </c>
      <c r="H145" s="21"/>
      <c r="I145" s="32">
        <f t="shared" si="50"/>
        <v>136.23</v>
      </c>
      <c r="J145" s="21">
        <f t="shared" si="51"/>
        <v>2</v>
      </c>
      <c r="K145" s="190"/>
      <c r="L145" s="201">
        <v>2</v>
      </c>
      <c r="M145" s="190">
        <v>134.23</v>
      </c>
      <c r="N145" s="21"/>
      <c r="O145" s="202">
        <f t="shared" si="52"/>
        <v>268.189189189189</v>
      </c>
      <c r="P145" s="204" t="s">
        <v>363</v>
      </c>
      <c r="Q145" s="211" t="e">
        <f>VLOOKUP(A145,[2]表四一般公共预算支出预算表!$A$8:$L$10000,12,0)</f>
        <v>#REF!</v>
      </c>
      <c r="S145" s="175">
        <f>VLOOKUP(A145,[3]Sheet1!$A$4:$C$61,3,0)</f>
        <v>2</v>
      </c>
      <c r="T145" s="175">
        <f t="shared" si="55"/>
        <v>0</v>
      </c>
      <c r="AD145" s="175">
        <f t="shared" si="44"/>
        <v>0</v>
      </c>
      <c r="AE145" s="175">
        <v>2</v>
      </c>
      <c r="AF145" s="175">
        <f t="shared" si="56"/>
        <v>0</v>
      </c>
    </row>
    <row r="146" ht="36" customHeight="1" spans="1:32">
      <c r="A146" s="191">
        <v>22499</v>
      </c>
      <c r="B146" s="193" t="s">
        <v>228</v>
      </c>
      <c r="C146" s="32">
        <f t="shared" si="34"/>
        <v>700</v>
      </c>
      <c r="D146" s="21">
        <f t="shared" si="35"/>
        <v>0</v>
      </c>
      <c r="E146" s="190"/>
      <c r="F146" s="21"/>
      <c r="G146" s="21"/>
      <c r="H146" s="21">
        <v>700</v>
      </c>
      <c r="I146" s="32">
        <f t="shared" si="50"/>
        <v>665</v>
      </c>
      <c r="J146" s="21">
        <f t="shared" si="51"/>
        <v>0</v>
      </c>
      <c r="K146" s="190"/>
      <c r="L146" s="201"/>
      <c r="M146" s="190">
        <v>665</v>
      </c>
      <c r="N146" s="21"/>
      <c r="O146" s="202">
        <f t="shared" si="52"/>
        <v>-5</v>
      </c>
      <c r="P146" s="204"/>
      <c r="Q146" s="211" t="e">
        <f>VLOOKUP(A146,[2]表四一般公共预算支出预算表!$A$8:$L$10000,12,0)</f>
        <v>#REF!</v>
      </c>
      <c r="T146" s="175">
        <f t="shared" si="55"/>
        <v>0</v>
      </c>
      <c r="AD146" s="175">
        <f t="shared" si="44"/>
        <v>0</v>
      </c>
      <c r="AF146" s="175">
        <f t="shared" si="56"/>
        <v>0</v>
      </c>
    </row>
    <row r="147" s="166" customFormat="1" ht="79.05" customHeight="1" spans="1:30">
      <c r="A147" s="189" t="s">
        <v>229</v>
      </c>
      <c r="B147" s="188" t="s">
        <v>230</v>
      </c>
      <c r="C147" s="32">
        <f t="shared" si="34"/>
        <v>2200</v>
      </c>
      <c r="D147" s="32">
        <f t="shared" si="35"/>
        <v>2200</v>
      </c>
      <c r="E147" s="190"/>
      <c r="F147" s="21">
        <v>2200</v>
      </c>
      <c r="G147" s="21"/>
      <c r="H147" s="21"/>
      <c r="I147" s="32">
        <f t="shared" si="50"/>
        <v>2300</v>
      </c>
      <c r="J147" s="32">
        <f t="shared" si="51"/>
        <v>2300</v>
      </c>
      <c r="K147" s="190"/>
      <c r="L147" s="21">
        <v>2300</v>
      </c>
      <c r="M147" s="21"/>
      <c r="N147" s="21"/>
      <c r="O147" s="202">
        <f t="shared" si="52"/>
        <v>4.54545454545455</v>
      </c>
      <c r="P147" s="188" t="s">
        <v>364</v>
      </c>
      <c r="Q147" s="211"/>
      <c r="R147" s="175"/>
      <c r="S147" s="212"/>
      <c r="T147" s="212">
        <f t="shared" si="55"/>
        <v>2300</v>
      </c>
      <c r="U147" s="210"/>
      <c r="Y147" s="213"/>
      <c r="Z147" s="213"/>
      <c r="AA147" s="214"/>
      <c r="AC147" s="175"/>
      <c r="AD147" s="175">
        <f t="shared" si="44"/>
        <v>0</v>
      </c>
    </row>
    <row r="148" s="166" customFormat="1" ht="28.95" customHeight="1" spans="1:30">
      <c r="A148" s="189" t="s">
        <v>231</v>
      </c>
      <c r="B148" s="188" t="s">
        <v>232</v>
      </c>
      <c r="C148" s="32">
        <f t="shared" si="34"/>
        <v>24276.42</v>
      </c>
      <c r="D148" s="32">
        <f t="shared" si="35"/>
        <v>22600</v>
      </c>
      <c r="E148" s="21">
        <f t="shared" ref="E148:H148" si="57">SUM(E149:E150)</f>
        <v>20600</v>
      </c>
      <c r="F148" s="21">
        <f t="shared" si="57"/>
        <v>2000</v>
      </c>
      <c r="G148" s="21">
        <f t="shared" si="57"/>
        <v>503.86</v>
      </c>
      <c r="H148" s="21">
        <f t="shared" si="57"/>
        <v>1172.56</v>
      </c>
      <c r="I148" s="32">
        <f t="shared" si="50"/>
        <v>3319.52</v>
      </c>
      <c r="J148" s="32">
        <f t="shared" si="51"/>
        <v>2900</v>
      </c>
      <c r="K148" s="21">
        <f>SUM(K149:K150)</f>
        <v>900</v>
      </c>
      <c r="L148" s="21">
        <f t="shared" ref="K148:N148" si="58">SUM(L149:L150)</f>
        <v>2000</v>
      </c>
      <c r="M148" s="21">
        <f t="shared" si="58"/>
        <v>419.52</v>
      </c>
      <c r="N148" s="21">
        <f t="shared" si="58"/>
        <v>0</v>
      </c>
      <c r="O148" s="202">
        <f t="shared" si="52"/>
        <v>-86.326155174445</v>
      </c>
      <c r="P148" s="226"/>
      <c r="Q148" s="211"/>
      <c r="R148" s="175"/>
      <c r="S148" s="212"/>
      <c r="T148" s="212">
        <f t="shared" si="55"/>
        <v>2000</v>
      </c>
      <c r="U148" s="210"/>
      <c r="Y148" s="213"/>
      <c r="Z148" s="213"/>
      <c r="AA148" s="214"/>
      <c r="AC148" s="175"/>
      <c r="AD148" s="175">
        <f t="shared" si="44"/>
        <v>-900</v>
      </c>
    </row>
    <row r="149" s="167" customFormat="1" ht="33" customHeight="1" spans="1:34">
      <c r="A149" s="191">
        <v>22902</v>
      </c>
      <c r="B149" s="192" t="s">
        <v>233</v>
      </c>
      <c r="C149" s="32">
        <f t="shared" si="34"/>
        <v>2000</v>
      </c>
      <c r="D149" s="21">
        <f t="shared" si="35"/>
        <v>2000</v>
      </c>
      <c r="E149" s="190"/>
      <c r="F149" s="21">
        <f>2000</f>
        <v>2000</v>
      </c>
      <c r="G149" s="21"/>
      <c r="H149" s="21"/>
      <c r="I149" s="32">
        <f t="shared" si="50"/>
        <v>2000</v>
      </c>
      <c r="J149" s="21">
        <f t="shared" si="51"/>
        <v>2000</v>
      </c>
      <c r="K149" s="190"/>
      <c r="L149" s="21">
        <v>2000</v>
      </c>
      <c r="M149" s="190"/>
      <c r="N149" s="21"/>
      <c r="O149" s="202">
        <f t="shared" si="52"/>
        <v>0</v>
      </c>
      <c r="P149" s="204" t="s">
        <v>365</v>
      </c>
      <c r="Q149" s="211" t="e">
        <f>VLOOKUP(A149,[2]表四一般公共预算支出预算表!$A$8:$L$10000,12,0)</f>
        <v>#REF!</v>
      </c>
      <c r="S149" s="212"/>
      <c r="T149" s="212">
        <f t="shared" si="55"/>
        <v>2000</v>
      </c>
      <c r="U149" s="175"/>
      <c r="AA149" s="231"/>
      <c r="AC149" s="175"/>
      <c r="AD149" s="175">
        <f t="shared" si="44"/>
        <v>0</v>
      </c>
      <c r="AE149" s="175" t="e">
        <v>#N/A</v>
      </c>
      <c r="AF149" s="175" t="e">
        <f>+L149-AE149</f>
        <v>#N/A</v>
      </c>
      <c r="AG149" s="175"/>
      <c r="AH149" s="175"/>
    </row>
    <row r="150" spans="1:32">
      <c r="A150" s="191">
        <v>22999</v>
      </c>
      <c r="B150" s="192" t="s">
        <v>234</v>
      </c>
      <c r="C150" s="32">
        <f t="shared" si="34"/>
        <v>22276.42</v>
      </c>
      <c r="D150" s="21">
        <f t="shared" si="35"/>
        <v>20600</v>
      </c>
      <c r="E150" s="190">
        <v>20600</v>
      </c>
      <c r="F150" s="21"/>
      <c r="G150" s="21">
        <f>250+11+67.86+145+30</f>
        <v>503.86</v>
      </c>
      <c r="H150" s="21">
        <v>1172.56</v>
      </c>
      <c r="I150" s="32">
        <f t="shared" si="50"/>
        <v>1319.52</v>
      </c>
      <c r="J150" s="21">
        <f t="shared" si="51"/>
        <v>900</v>
      </c>
      <c r="K150" s="190">
        <f>900</f>
        <v>900</v>
      </c>
      <c r="L150" s="201"/>
      <c r="M150" s="190">
        <v>419.52</v>
      </c>
      <c r="N150" s="21"/>
      <c r="O150" s="202">
        <f t="shared" si="52"/>
        <v>-94.0766065642505</v>
      </c>
      <c r="P150" s="204"/>
      <c r="Q150" s="211" t="e">
        <f>VLOOKUP(A150,[2]表四一般公共预算支出预算表!$A$8:$L$10000,12,0)</f>
        <v>#REF!</v>
      </c>
      <c r="S150" s="212">
        <v>0</v>
      </c>
      <c r="T150" s="212">
        <f t="shared" si="55"/>
        <v>0</v>
      </c>
      <c r="AD150" s="175">
        <f t="shared" si="44"/>
        <v>-900</v>
      </c>
      <c r="AF150" s="175">
        <f>+L150-AE150</f>
        <v>0</v>
      </c>
    </row>
    <row r="151" s="166" customFormat="1" ht="28.95" customHeight="1" spans="1:30">
      <c r="A151" s="189" t="s">
        <v>235</v>
      </c>
      <c r="B151" s="188" t="s">
        <v>236</v>
      </c>
      <c r="C151" s="32">
        <f t="shared" si="34"/>
        <v>0</v>
      </c>
      <c r="D151" s="32">
        <f t="shared" si="35"/>
        <v>0</v>
      </c>
      <c r="E151" s="190"/>
      <c r="F151" s="21">
        <f>F152</f>
        <v>0</v>
      </c>
      <c r="G151" s="21"/>
      <c r="H151" s="21"/>
      <c r="I151" s="32">
        <f t="shared" si="50"/>
        <v>0</v>
      </c>
      <c r="J151" s="32">
        <f t="shared" si="51"/>
        <v>0</v>
      </c>
      <c r="K151" s="190"/>
      <c r="L151" s="21">
        <f>L152</f>
        <v>0</v>
      </c>
      <c r="M151" s="21"/>
      <c r="N151" s="21"/>
      <c r="O151" s="202">
        <f t="shared" si="52"/>
        <v>0</v>
      </c>
      <c r="P151" s="186"/>
      <c r="Q151" s="211"/>
      <c r="R151" s="175"/>
      <c r="S151" s="175"/>
      <c r="T151" s="175">
        <f t="shared" si="55"/>
        <v>0</v>
      </c>
      <c r="U151" s="210"/>
      <c r="Y151" s="213"/>
      <c r="Z151" s="213"/>
      <c r="AA151" s="214"/>
      <c r="AC151" s="175"/>
      <c r="AD151" s="175">
        <f t="shared" si="44"/>
        <v>0</v>
      </c>
    </row>
    <row r="152" ht="25" customHeight="1" spans="1:32">
      <c r="A152" s="191">
        <v>23203</v>
      </c>
      <c r="B152" s="192" t="s">
        <v>237</v>
      </c>
      <c r="C152" s="32">
        <f t="shared" si="34"/>
        <v>0</v>
      </c>
      <c r="D152" s="21">
        <f t="shared" si="35"/>
        <v>0</v>
      </c>
      <c r="E152" s="190"/>
      <c r="F152" s="21"/>
      <c r="G152" s="21"/>
      <c r="H152" s="21"/>
      <c r="I152" s="32">
        <f t="shared" si="50"/>
        <v>0</v>
      </c>
      <c r="J152" s="21">
        <f t="shared" si="51"/>
        <v>0</v>
      </c>
      <c r="K152" s="190"/>
      <c r="L152" s="201"/>
      <c r="M152" s="190"/>
      <c r="N152" s="21"/>
      <c r="O152" s="198">
        <f t="shared" si="52"/>
        <v>0</v>
      </c>
      <c r="P152" s="204"/>
      <c r="Q152" s="211" t="e">
        <f>VLOOKUP(A152,[2]表四一般公共预算支出预算表!$A$8:$L$10000,12,0)</f>
        <v>#REF!</v>
      </c>
      <c r="T152" s="175">
        <f t="shared" si="55"/>
        <v>0</v>
      </c>
      <c r="AD152" s="175">
        <f t="shared" si="44"/>
        <v>0</v>
      </c>
      <c r="AE152" s="175" t="e">
        <v>#N/A</v>
      </c>
      <c r="AF152" s="175" t="e">
        <f>+L152-AE152</f>
        <v>#N/A</v>
      </c>
    </row>
    <row r="153" s="168" customFormat="1" spans="1:21">
      <c r="A153" s="221"/>
      <c r="B153" s="222"/>
      <c r="C153" s="223"/>
      <c r="D153" s="223"/>
      <c r="E153" s="223"/>
      <c r="F153" s="224"/>
      <c r="G153" s="223"/>
      <c r="H153" s="225"/>
      <c r="I153" s="227"/>
      <c r="J153" s="227"/>
      <c r="K153" s="225"/>
      <c r="L153" s="225"/>
      <c r="M153" s="225"/>
      <c r="N153" s="225"/>
      <c r="O153" s="228"/>
      <c r="P153" s="221"/>
      <c r="S153" s="175"/>
      <c r="U153" s="230"/>
    </row>
    <row r="154" s="168" customFormat="1" spans="1:16">
      <c r="A154" s="221"/>
      <c r="B154" s="222"/>
      <c r="C154" s="223"/>
      <c r="D154" s="223"/>
      <c r="E154" s="223"/>
      <c r="F154" s="223"/>
      <c r="G154" s="223"/>
      <c r="H154" s="225"/>
      <c r="I154" s="227"/>
      <c r="J154" s="227"/>
      <c r="K154" s="225"/>
      <c r="L154" s="225"/>
      <c r="M154" s="225"/>
      <c r="N154" s="225"/>
      <c r="O154" s="228"/>
      <c r="P154" s="221"/>
    </row>
    <row r="155" s="168" customFormat="1" spans="1:16">
      <c r="A155" s="221"/>
      <c r="B155" s="222"/>
      <c r="C155" s="223"/>
      <c r="D155" s="223"/>
      <c r="E155" s="223"/>
      <c r="F155" s="223"/>
      <c r="G155" s="223"/>
      <c r="H155" s="225"/>
      <c r="I155" s="227"/>
      <c r="J155" s="227"/>
      <c r="K155" s="225"/>
      <c r="L155" s="225"/>
      <c r="M155" s="225"/>
      <c r="N155" s="225"/>
      <c r="O155" s="229"/>
      <c r="P155" s="221"/>
    </row>
    <row r="156" s="168" customFormat="1" spans="1:16">
      <c r="A156" s="221"/>
      <c r="B156" s="222"/>
      <c r="C156" s="223"/>
      <c r="D156" s="223"/>
      <c r="E156" s="223"/>
      <c r="F156" s="223"/>
      <c r="G156" s="223"/>
      <c r="H156" s="225"/>
      <c r="I156" s="227"/>
      <c r="J156" s="227"/>
      <c r="K156" s="225"/>
      <c r="L156" s="225"/>
      <c r="M156" s="225"/>
      <c r="N156" s="225"/>
      <c r="O156" s="229"/>
      <c r="P156" s="221"/>
    </row>
    <row r="157" s="168" customFormat="1" spans="1:16">
      <c r="A157" s="221"/>
      <c r="B157" s="222"/>
      <c r="C157" s="223"/>
      <c r="D157" s="223"/>
      <c r="E157" s="223"/>
      <c r="F157" s="223"/>
      <c r="G157" s="223"/>
      <c r="H157" s="225"/>
      <c r="I157" s="227"/>
      <c r="J157" s="227"/>
      <c r="K157" s="225"/>
      <c r="L157" s="225"/>
      <c r="M157" s="225"/>
      <c r="N157" s="225"/>
      <c r="O157" s="229"/>
      <c r="P157" s="221"/>
    </row>
    <row r="158" s="168" customFormat="1" spans="1:16">
      <c r="A158" s="221"/>
      <c r="B158" s="222"/>
      <c r="C158" s="223"/>
      <c r="D158" s="223"/>
      <c r="E158" s="223"/>
      <c r="F158" s="223"/>
      <c r="G158" s="223"/>
      <c r="H158" s="225"/>
      <c r="I158" s="227"/>
      <c r="J158" s="227"/>
      <c r="K158" s="225"/>
      <c r="L158" s="225"/>
      <c r="M158" s="225"/>
      <c r="N158" s="225"/>
      <c r="O158" s="229"/>
      <c r="P158" s="221"/>
    </row>
    <row r="159" s="168" customFormat="1" spans="1:16">
      <c r="A159" s="221"/>
      <c r="B159" s="222"/>
      <c r="C159" s="223"/>
      <c r="D159" s="223"/>
      <c r="E159" s="223"/>
      <c r="F159" s="223"/>
      <c r="G159" s="223"/>
      <c r="H159" s="225"/>
      <c r="I159" s="227"/>
      <c r="J159" s="227"/>
      <c r="K159" s="225"/>
      <c r="L159" s="225"/>
      <c r="M159" s="225"/>
      <c r="N159" s="225"/>
      <c r="O159" s="229"/>
      <c r="P159" s="221"/>
    </row>
    <row r="160" s="168" customFormat="1" spans="1:16">
      <c r="A160" s="221"/>
      <c r="B160" s="222"/>
      <c r="C160" s="223"/>
      <c r="D160" s="223"/>
      <c r="E160" s="223"/>
      <c r="F160" s="223"/>
      <c r="G160" s="223"/>
      <c r="H160" s="225"/>
      <c r="I160" s="227"/>
      <c r="J160" s="227"/>
      <c r="K160" s="225"/>
      <c r="L160" s="225"/>
      <c r="M160" s="225"/>
      <c r="N160" s="225"/>
      <c r="O160" s="229"/>
      <c r="P160" s="221"/>
    </row>
    <row r="161" s="168" customFormat="1" spans="1:16">
      <c r="A161" s="221"/>
      <c r="B161" s="222"/>
      <c r="C161" s="223"/>
      <c r="D161" s="223"/>
      <c r="E161" s="223"/>
      <c r="F161" s="223"/>
      <c r="G161" s="223"/>
      <c r="H161" s="225"/>
      <c r="I161" s="227"/>
      <c r="J161" s="227"/>
      <c r="K161" s="225"/>
      <c r="L161" s="225"/>
      <c r="M161" s="225"/>
      <c r="N161" s="225"/>
      <c r="O161" s="229"/>
      <c r="P161" s="221"/>
    </row>
    <row r="162" s="168" customFormat="1" spans="1:16">
      <c r="A162" s="221"/>
      <c r="B162" s="222"/>
      <c r="C162" s="223"/>
      <c r="D162" s="223"/>
      <c r="E162" s="223"/>
      <c r="F162" s="223"/>
      <c r="G162" s="223"/>
      <c r="H162" s="225"/>
      <c r="I162" s="227"/>
      <c r="J162" s="227"/>
      <c r="K162" s="225"/>
      <c r="L162" s="225"/>
      <c r="M162" s="225"/>
      <c r="N162" s="225"/>
      <c r="O162" s="229"/>
      <c r="P162" s="221"/>
    </row>
    <row r="163" s="168" customFormat="1" spans="1:16">
      <c r="A163" s="221"/>
      <c r="B163" s="222"/>
      <c r="C163" s="223"/>
      <c r="D163" s="223"/>
      <c r="E163" s="223"/>
      <c r="F163" s="223"/>
      <c r="G163" s="223"/>
      <c r="H163" s="225"/>
      <c r="I163" s="227"/>
      <c r="J163" s="227"/>
      <c r="K163" s="225"/>
      <c r="L163" s="225"/>
      <c r="M163" s="225"/>
      <c r="N163" s="225"/>
      <c r="O163" s="229"/>
      <c r="P163" s="221"/>
    </row>
    <row r="164" s="168" customFormat="1" spans="1:16">
      <c r="A164" s="221"/>
      <c r="B164" s="222"/>
      <c r="C164" s="223"/>
      <c r="D164" s="223"/>
      <c r="E164" s="223"/>
      <c r="F164" s="223"/>
      <c r="G164" s="223"/>
      <c r="H164" s="225"/>
      <c r="I164" s="227"/>
      <c r="J164" s="227"/>
      <c r="K164" s="225"/>
      <c r="L164" s="225"/>
      <c r="M164" s="225"/>
      <c r="N164" s="225"/>
      <c r="O164" s="229"/>
      <c r="P164" s="221"/>
    </row>
    <row r="165" s="168" customFormat="1" spans="1:16">
      <c r="A165" s="221"/>
      <c r="B165" s="222"/>
      <c r="C165" s="223"/>
      <c r="D165" s="223"/>
      <c r="E165" s="223"/>
      <c r="F165" s="223"/>
      <c r="G165" s="223"/>
      <c r="H165" s="225"/>
      <c r="I165" s="227"/>
      <c r="J165" s="227"/>
      <c r="K165" s="225"/>
      <c r="L165" s="225"/>
      <c r="M165" s="225"/>
      <c r="N165" s="225"/>
      <c r="O165" s="229"/>
      <c r="P165" s="221"/>
    </row>
    <row r="166" s="168" customFormat="1" spans="1:16">
      <c r="A166" s="221"/>
      <c r="B166" s="222"/>
      <c r="C166" s="223"/>
      <c r="D166" s="223"/>
      <c r="E166" s="223"/>
      <c r="F166" s="223"/>
      <c r="G166" s="223"/>
      <c r="H166" s="225"/>
      <c r="I166" s="227"/>
      <c r="J166" s="227"/>
      <c r="K166" s="225"/>
      <c r="L166" s="225"/>
      <c r="M166" s="225"/>
      <c r="N166" s="225"/>
      <c r="O166" s="229"/>
      <c r="P166" s="221"/>
    </row>
    <row r="167" s="168" customFormat="1" spans="1:16">
      <c r="A167" s="221"/>
      <c r="B167" s="222"/>
      <c r="C167" s="223"/>
      <c r="D167" s="223"/>
      <c r="E167" s="223"/>
      <c r="F167" s="223"/>
      <c r="G167" s="223"/>
      <c r="H167" s="225"/>
      <c r="I167" s="227"/>
      <c r="J167" s="227"/>
      <c r="K167" s="225"/>
      <c r="L167" s="225"/>
      <c r="M167" s="225"/>
      <c r="N167" s="225"/>
      <c r="O167" s="229"/>
      <c r="P167" s="221"/>
    </row>
    <row r="168" s="168" customFormat="1" spans="1:16">
      <c r="A168" s="221"/>
      <c r="B168" s="222"/>
      <c r="C168" s="223"/>
      <c r="D168" s="223"/>
      <c r="E168" s="223"/>
      <c r="F168" s="223"/>
      <c r="G168" s="223"/>
      <c r="H168" s="225"/>
      <c r="I168" s="227"/>
      <c r="J168" s="227"/>
      <c r="K168" s="225"/>
      <c r="L168" s="225"/>
      <c r="M168" s="225"/>
      <c r="N168" s="225"/>
      <c r="O168" s="229"/>
      <c r="P168" s="221"/>
    </row>
    <row r="169" s="168" customFormat="1" spans="1:16">
      <c r="A169" s="221"/>
      <c r="B169" s="222"/>
      <c r="C169" s="223"/>
      <c r="D169" s="223"/>
      <c r="E169" s="223"/>
      <c r="F169" s="223"/>
      <c r="G169" s="223"/>
      <c r="H169" s="225"/>
      <c r="I169" s="227"/>
      <c r="J169" s="227"/>
      <c r="K169" s="225"/>
      <c r="L169" s="225"/>
      <c r="M169" s="225"/>
      <c r="N169" s="225"/>
      <c r="O169" s="229"/>
      <c r="P169" s="221"/>
    </row>
    <row r="170" s="168" customFormat="1" spans="1:16">
      <c r="A170" s="221"/>
      <c r="B170" s="222"/>
      <c r="C170" s="223"/>
      <c r="D170" s="223"/>
      <c r="E170" s="223"/>
      <c r="F170" s="223"/>
      <c r="G170" s="223"/>
      <c r="H170" s="225"/>
      <c r="I170" s="227"/>
      <c r="J170" s="227"/>
      <c r="K170" s="225"/>
      <c r="L170" s="225"/>
      <c r="M170" s="225"/>
      <c r="N170" s="225"/>
      <c r="O170" s="229"/>
      <c r="P170" s="221"/>
    </row>
    <row r="171" s="168" customFormat="1" spans="1:16">
      <c r="A171" s="221"/>
      <c r="B171" s="222"/>
      <c r="C171" s="223"/>
      <c r="D171" s="223"/>
      <c r="E171" s="223"/>
      <c r="F171" s="223"/>
      <c r="G171" s="223"/>
      <c r="H171" s="225"/>
      <c r="I171" s="227"/>
      <c r="J171" s="227"/>
      <c r="K171" s="225"/>
      <c r="L171" s="225"/>
      <c r="M171" s="225"/>
      <c r="N171" s="225"/>
      <c r="O171" s="229"/>
      <c r="P171" s="221"/>
    </row>
    <row r="172" s="168" customFormat="1" spans="1:16">
      <c r="A172" s="221"/>
      <c r="B172" s="222"/>
      <c r="C172" s="223"/>
      <c r="D172" s="223"/>
      <c r="E172" s="223"/>
      <c r="F172" s="223"/>
      <c r="G172" s="223"/>
      <c r="H172" s="225"/>
      <c r="I172" s="227"/>
      <c r="J172" s="227"/>
      <c r="K172" s="225"/>
      <c r="L172" s="225"/>
      <c r="M172" s="225"/>
      <c r="N172" s="225"/>
      <c r="O172" s="229"/>
      <c r="P172" s="221"/>
    </row>
    <row r="173" s="168" customFormat="1" spans="1:16">
      <c r="A173" s="221"/>
      <c r="B173" s="222"/>
      <c r="C173" s="223"/>
      <c r="D173" s="223"/>
      <c r="E173" s="223"/>
      <c r="F173" s="223"/>
      <c r="G173" s="223"/>
      <c r="H173" s="225"/>
      <c r="I173" s="227"/>
      <c r="J173" s="227"/>
      <c r="K173" s="225"/>
      <c r="L173" s="225"/>
      <c r="M173" s="225"/>
      <c r="N173" s="225"/>
      <c r="O173" s="229"/>
      <c r="P173" s="221"/>
    </row>
    <row r="174" s="168" customFormat="1" spans="1:16">
      <c r="A174" s="221"/>
      <c r="B174" s="222"/>
      <c r="C174" s="223"/>
      <c r="D174" s="223"/>
      <c r="E174" s="223"/>
      <c r="F174" s="223"/>
      <c r="G174" s="223"/>
      <c r="H174" s="225"/>
      <c r="I174" s="227"/>
      <c r="J174" s="227"/>
      <c r="K174" s="225"/>
      <c r="L174" s="225"/>
      <c r="M174" s="225"/>
      <c r="N174" s="225"/>
      <c r="O174" s="229"/>
      <c r="P174" s="221"/>
    </row>
    <row r="175" s="168" customFormat="1" spans="1:16">
      <c r="A175" s="221"/>
      <c r="B175" s="222"/>
      <c r="C175" s="223"/>
      <c r="D175" s="223"/>
      <c r="E175" s="223"/>
      <c r="F175" s="223"/>
      <c r="G175" s="223"/>
      <c r="H175" s="225"/>
      <c r="I175" s="227"/>
      <c r="J175" s="227"/>
      <c r="K175" s="225"/>
      <c r="L175" s="225"/>
      <c r="M175" s="225"/>
      <c r="N175" s="225"/>
      <c r="O175" s="229"/>
      <c r="P175" s="221"/>
    </row>
    <row r="176" s="168" customFormat="1" spans="1:16">
      <c r="A176" s="221"/>
      <c r="B176" s="222"/>
      <c r="C176" s="223"/>
      <c r="D176" s="223"/>
      <c r="E176" s="223"/>
      <c r="F176" s="223"/>
      <c r="G176" s="223"/>
      <c r="H176" s="225"/>
      <c r="I176" s="227"/>
      <c r="J176" s="227"/>
      <c r="K176" s="225"/>
      <c r="L176" s="225"/>
      <c r="M176" s="225"/>
      <c r="N176" s="225"/>
      <c r="O176" s="229"/>
      <c r="P176" s="221"/>
    </row>
    <row r="177" s="168" customFormat="1" spans="1:16">
      <c r="A177" s="221"/>
      <c r="B177" s="222"/>
      <c r="C177" s="223"/>
      <c r="D177" s="223"/>
      <c r="E177" s="223"/>
      <c r="F177" s="223"/>
      <c r="G177" s="223"/>
      <c r="H177" s="225"/>
      <c r="I177" s="227"/>
      <c r="J177" s="227"/>
      <c r="K177" s="225"/>
      <c r="L177" s="225"/>
      <c r="M177" s="225"/>
      <c r="N177" s="225"/>
      <c r="O177" s="229"/>
      <c r="P177" s="221"/>
    </row>
    <row r="178" s="168" customFormat="1" spans="1:16">
      <c r="A178" s="221"/>
      <c r="B178" s="222"/>
      <c r="C178" s="223"/>
      <c r="D178" s="223"/>
      <c r="E178" s="223"/>
      <c r="F178" s="223"/>
      <c r="G178" s="223"/>
      <c r="H178" s="225"/>
      <c r="I178" s="227"/>
      <c r="J178" s="227"/>
      <c r="K178" s="225"/>
      <c r="L178" s="225"/>
      <c r="M178" s="225"/>
      <c r="N178" s="225"/>
      <c r="O178" s="229"/>
      <c r="P178" s="221"/>
    </row>
    <row r="179" s="168" customFormat="1" spans="1:16">
      <c r="A179" s="221"/>
      <c r="B179" s="222"/>
      <c r="C179" s="223"/>
      <c r="D179" s="223"/>
      <c r="E179" s="223"/>
      <c r="F179" s="223"/>
      <c r="G179" s="223"/>
      <c r="H179" s="225"/>
      <c r="I179" s="227"/>
      <c r="J179" s="227"/>
      <c r="K179" s="225"/>
      <c r="L179" s="225"/>
      <c r="M179" s="225"/>
      <c r="N179" s="225"/>
      <c r="O179" s="229"/>
      <c r="P179" s="221"/>
    </row>
    <row r="180" s="168" customFormat="1" spans="1:16">
      <c r="A180" s="221"/>
      <c r="B180" s="222"/>
      <c r="C180" s="223"/>
      <c r="D180" s="223"/>
      <c r="E180" s="223"/>
      <c r="F180" s="223"/>
      <c r="G180" s="223"/>
      <c r="H180" s="225"/>
      <c r="I180" s="227"/>
      <c r="J180" s="227"/>
      <c r="K180" s="225"/>
      <c r="L180" s="225"/>
      <c r="M180" s="225"/>
      <c r="N180" s="225"/>
      <c r="O180" s="229"/>
      <c r="P180" s="221"/>
    </row>
    <row r="181" s="168" customFormat="1" spans="1:16">
      <c r="A181" s="221"/>
      <c r="B181" s="222"/>
      <c r="C181" s="223"/>
      <c r="D181" s="223"/>
      <c r="E181" s="223"/>
      <c r="F181" s="223"/>
      <c r="G181" s="223"/>
      <c r="H181" s="225"/>
      <c r="I181" s="227"/>
      <c r="J181" s="227"/>
      <c r="K181" s="225"/>
      <c r="L181" s="225"/>
      <c r="M181" s="225"/>
      <c r="N181" s="225"/>
      <c r="O181" s="229"/>
      <c r="P181" s="221"/>
    </row>
  </sheetData>
  <autoFilter ref="A6:AF152">
    <extLst/>
  </autoFilter>
  <mergeCells count="17">
    <mergeCell ref="A1:P1"/>
    <mergeCell ref="A2:B2"/>
    <mergeCell ref="C2:O2"/>
    <mergeCell ref="C3:H3"/>
    <mergeCell ref="I3:N3"/>
    <mergeCell ref="E4:F4"/>
    <mergeCell ref="G4:H4"/>
    <mergeCell ref="K4:L4"/>
    <mergeCell ref="M4:N4"/>
    <mergeCell ref="A3:A5"/>
    <mergeCell ref="B3:B5"/>
    <mergeCell ref="C4:C5"/>
    <mergeCell ref="D4:D5"/>
    <mergeCell ref="I4:I5"/>
    <mergeCell ref="J4:J5"/>
    <mergeCell ref="O3:O5"/>
    <mergeCell ref="P3:P5"/>
  </mergeCells>
  <printOptions horizontalCentered="1"/>
  <pageMargins left="0.196527777777778" right="0.313888888888889" top="0.432638888888889" bottom="0.393055555555556" header="0.314583333333333" footer="0.118055555555556"/>
  <pageSetup paperSize="9" scale="67" fitToHeight="0" orientation="portrait"/>
  <headerFooter alignWithMargins="0">
    <oddFooter>&amp;C&amp;11第 &amp;P 页，共 &amp;N 页</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G53"/>
  <sheetViews>
    <sheetView showZeros="0" zoomScale="87" zoomScaleNormal="87" workbookViewId="0">
      <selection activeCell="G24" sqref="G24"/>
    </sheetView>
  </sheetViews>
  <sheetFormatPr defaultColWidth="9" defaultRowHeight="14.25"/>
  <cols>
    <col min="1" max="1" width="7.6" style="129" customWidth="1"/>
    <col min="2" max="2" width="7.5" style="129" customWidth="1"/>
    <col min="3" max="3" width="7.5" style="131" hidden="1" customWidth="1"/>
    <col min="4" max="4" width="31.1" style="129" customWidth="1"/>
    <col min="5" max="5" width="11.5" style="132" customWidth="1"/>
    <col min="6" max="6" width="11.4" style="132" customWidth="1"/>
    <col min="7" max="7" width="12.2" style="132" customWidth="1"/>
    <col min="8" max="8" width="23" style="129" customWidth="1"/>
    <col min="9" max="16384" width="9" style="129"/>
  </cols>
  <sheetData>
    <row r="1" ht="36" customHeight="1" spans="1:241">
      <c r="A1" s="133" t="s">
        <v>366</v>
      </c>
      <c r="B1" s="133"/>
      <c r="C1" s="134"/>
      <c r="D1" s="133"/>
      <c r="E1" s="133"/>
      <c r="F1" s="133"/>
      <c r="G1" s="133"/>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row>
    <row r="2" ht="27" customHeight="1" spans="1:241">
      <c r="A2" s="136"/>
      <c r="B2" s="136"/>
      <c r="C2" s="137"/>
      <c r="D2" s="136"/>
      <c r="E2" s="138"/>
      <c r="F2" s="139" t="s">
        <v>12</v>
      </c>
      <c r="G2" s="139"/>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row>
    <row r="3" ht="28.2" customHeight="1" spans="1:7">
      <c r="A3" s="140" t="s">
        <v>367</v>
      </c>
      <c r="B3" s="141"/>
      <c r="C3" s="142"/>
      <c r="D3" s="143" t="s">
        <v>368</v>
      </c>
      <c r="E3" s="144" t="s">
        <v>369</v>
      </c>
      <c r="F3" s="144" t="s">
        <v>292</v>
      </c>
      <c r="G3" s="144" t="s">
        <v>293</v>
      </c>
    </row>
    <row r="4" spans="1:7">
      <c r="A4" s="145" t="s">
        <v>370</v>
      </c>
      <c r="B4" s="145" t="s">
        <v>371</v>
      </c>
      <c r="C4" s="146"/>
      <c r="D4" s="146"/>
      <c r="E4" s="144"/>
      <c r="F4" s="144"/>
      <c r="G4" s="144"/>
    </row>
    <row r="5" s="128" customFormat="1" spans="1:7">
      <c r="A5" s="147"/>
      <c r="B5" s="148"/>
      <c r="C5" s="149"/>
      <c r="D5" s="147" t="s">
        <v>369</v>
      </c>
      <c r="E5" s="150">
        <v>195879</v>
      </c>
      <c r="F5" s="150">
        <f>SUM(F6,F11,F21,F29,F32,F35,F39,F45,F48,F50,F52)</f>
        <v>162169.32</v>
      </c>
      <c r="G5" s="150">
        <f>SUM(G6,G11,G21,G29,G32,G35,G39,G45,G48,G50,G52)</f>
        <v>33710.23</v>
      </c>
    </row>
    <row r="6" s="128" customFormat="1" spans="1:7">
      <c r="A6" s="147" t="s">
        <v>372</v>
      </c>
      <c r="B6" s="148"/>
      <c r="C6" s="149"/>
      <c r="D6" s="151" t="s">
        <v>373</v>
      </c>
      <c r="E6" s="150">
        <f t="shared" ref="E5:E53" si="0">SUM(F6:G6)</f>
        <v>40542.66</v>
      </c>
      <c r="F6" s="150">
        <f>SUM(F7:F10)</f>
        <v>35253.46</v>
      </c>
      <c r="G6" s="150">
        <f>SUM(G7:G10)</f>
        <v>5289.2</v>
      </c>
    </row>
    <row r="7" spans="1:7">
      <c r="A7" s="152" t="s">
        <v>374</v>
      </c>
      <c r="B7" s="153" t="s">
        <v>375</v>
      </c>
      <c r="C7" s="154">
        <v>50101</v>
      </c>
      <c r="D7" s="155" t="s">
        <v>376</v>
      </c>
      <c r="E7" s="156">
        <f t="shared" si="0"/>
        <v>18730.02</v>
      </c>
      <c r="F7" s="157">
        <v>17610.27</v>
      </c>
      <c r="G7" s="158">
        <f>1096.18+23.57</f>
        <v>1119.75</v>
      </c>
    </row>
    <row r="8" spans="1:7">
      <c r="A8" s="152" t="s">
        <v>374</v>
      </c>
      <c r="B8" s="153" t="s">
        <v>377</v>
      </c>
      <c r="C8" s="154">
        <v>50102</v>
      </c>
      <c r="D8" s="155" t="s">
        <v>378</v>
      </c>
      <c r="E8" s="156">
        <f t="shared" si="0"/>
        <v>10677.49</v>
      </c>
      <c r="F8" s="157">
        <f>6841.03+3100</f>
        <v>9941.03</v>
      </c>
      <c r="G8" s="158">
        <v>736.46</v>
      </c>
    </row>
    <row r="9" spans="1:7">
      <c r="A9" s="152" t="s">
        <v>374</v>
      </c>
      <c r="B9" s="153" t="s">
        <v>379</v>
      </c>
      <c r="C9" s="154">
        <v>50103</v>
      </c>
      <c r="D9" s="155" t="s">
        <v>380</v>
      </c>
      <c r="E9" s="156">
        <f t="shared" si="0"/>
        <v>2553.17</v>
      </c>
      <c r="F9" s="157">
        <v>2545.87</v>
      </c>
      <c r="G9" s="158">
        <v>7.3</v>
      </c>
    </row>
    <row r="10" spans="1:7">
      <c r="A10" s="152" t="s">
        <v>374</v>
      </c>
      <c r="B10" s="153" t="s">
        <v>381</v>
      </c>
      <c r="C10" s="154">
        <v>50199</v>
      </c>
      <c r="D10" s="155" t="s">
        <v>382</v>
      </c>
      <c r="E10" s="156">
        <f t="shared" si="0"/>
        <v>8581.98</v>
      </c>
      <c r="F10" s="157">
        <v>5156.29</v>
      </c>
      <c r="G10" s="158">
        <f>452.93+2972.76</f>
        <v>3425.69</v>
      </c>
    </row>
    <row r="11" s="128" customFormat="1" spans="1:7">
      <c r="A11" s="147" t="s">
        <v>383</v>
      </c>
      <c r="B11" s="148"/>
      <c r="C11" s="154">
        <v>502</v>
      </c>
      <c r="D11" s="151" t="s">
        <v>384</v>
      </c>
      <c r="E11" s="150">
        <f t="shared" si="0"/>
        <v>12852.45</v>
      </c>
      <c r="F11" s="150">
        <f>SUM(F12:F20)</f>
        <v>5652.8</v>
      </c>
      <c r="G11" s="150">
        <f>SUM(G12:G20)</f>
        <v>7199.65</v>
      </c>
    </row>
    <row r="12" spans="1:7">
      <c r="A12" s="152" t="s">
        <v>385</v>
      </c>
      <c r="B12" s="153" t="s">
        <v>375</v>
      </c>
      <c r="C12" s="154">
        <v>50201</v>
      </c>
      <c r="D12" s="155" t="s">
        <v>386</v>
      </c>
      <c r="E12" s="156">
        <f t="shared" si="0"/>
        <v>5430.11</v>
      </c>
      <c r="F12" s="157">
        <v>4039.09</v>
      </c>
      <c r="G12" s="158">
        <f>1343.02+48</f>
        <v>1391.02</v>
      </c>
    </row>
    <row r="13" spans="1:7">
      <c r="A13" s="152" t="s">
        <v>385</v>
      </c>
      <c r="B13" s="153" t="s">
        <v>377</v>
      </c>
      <c r="C13" s="154">
        <v>50202</v>
      </c>
      <c r="D13" s="155" t="s">
        <v>387</v>
      </c>
      <c r="E13" s="156">
        <f t="shared" si="0"/>
        <v>158.1</v>
      </c>
      <c r="F13" s="157">
        <v>43.3</v>
      </c>
      <c r="G13" s="158">
        <f>114.8</f>
        <v>114.8</v>
      </c>
    </row>
    <row r="14" spans="1:7">
      <c r="A14" s="152" t="s">
        <v>385</v>
      </c>
      <c r="B14" s="153" t="s">
        <v>379</v>
      </c>
      <c r="C14" s="154">
        <v>50203</v>
      </c>
      <c r="D14" s="155" t="s">
        <v>388</v>
      </c>
      <c r="E14" s="156">
        <f t="shared" si="0"/>
        <v>209.39</v>
      </c>
      <c r="F14" s="157">
        <v>51.96</v>
      </c>
      <c r="G14" s="158">
        <f>157.43</f>
        <v>157.43</v>
      </c>
    </row>
    <row r="15" spans="1:7">
      <c r="A15" s="152" t="s">
        <v>385</v>
      </c>
      <c r="B15" s="153" t="s">
        <v>389</v>
      </c>
      <c r="C15" s="154">
        <v>50204</v>
      </c>
      <c r="D15" s="155" t="s">
        <v>390</v>
      </c>
      <c r="E15" s="156">
        <f t="shared" si="0"/>
        <v>14.74</v>
      </c>
      <c r="F15" s="157"/>
      <c r="G15" s="158">
        <v>14.74</v>
      </c>
    </row>
    <row r="16" spans="1:7">
      <c r="A16" s="152" t="s">
        <v>385</v>
      </c>
      <c r="B16" s="153" t="s">
        <v>391</v>
      </c>
      <c r="C16" s="154">
        <v>50205</v>
      </c>
      <c r="D16" s="155" t="s">
        <v>392</v>
      </c>
      <c r="E16" s="156">
        <f t="shared" si="0"/>
        <v>4039.58</v>
      </c>
      <c r="F16" s="157"/>
      <c r="G16" s="158">
        <f>2913.52+1126.06</f>
        <v>4039.58</v>
      </c>
    </row>
    <row r="17" spans="1:7">
      <c r="A17" s="152" t="s">
        <v>385</v>
      </c>
      <c r="B17" s="153" t="s">
        <v>393</v>
      </c>
      <c r="C17" s="154">
        <v>50206</v>
      </c>
      <c r="D17" s="155" t="s">
        <v>394</v>
      </c>
      <c r="E17" s="156">
        <f t="shared" si="0"/>
        <v>143.46</v>
      </c>
      <c r="F17" s="157">
        <v>51.96</v>
      </c>
      <c r="G17" s="158">
        <f>91.5</f>
        <v>91.5</v>
      </c>
    </row>
    <row r="18" spans="1:7">
      <c r="A18" s="152" t="s">
        <v>385</v>
      </c>
      <c r="B18" s="153" t="s">
        <v>395</v>
      </c>
      <c r="C18" s="154">
        <v>50208</v>
      </c>
      <c r="D18" s="155" t="s">
        <v>396</v>
      </c>
      <c r="E18" s="156">
        <f t="shared" si="0"/>
        <v>317.8</v>
      </c>
      <c r="F18" s="157">
        <v>307.8</v>
      </c>
      <c r="G18" s="158">
        <v>10</v>
      </c>
    </row>
    <row r="19" spans="1:7">
      <c r="A19" s="152" t="s">
        <v>385</v>
      </c>
      <c r="B19" s="153" t="s">
        <v>397</v>
      </c>
      <c r="C19" s="154">
        <v>50209</v>
      </c>
      <c r="D19" s="155" t="s">
        <v>398</v>
      </c>
      <c r="E19" s="156">
        <f t="shared" si="0"/>
        <v>141.78</v>
      </c>
      <c r="F19" s="157">
        <v>99.22</v>
      </c>
      <c r="G19" s="158">
        <f>22.56+20</f>
        <v>42.56</v>
      </c>
    </row>
    <row r="20" spans="1:7">
      <c r="A20" s="152" t="s">
        <v>385</v>
      </c>
      <c r="B20" s="153" t="s">
        <v>381</v>
      </c>
      <c r="C20" s="154">
        <v>50299</v>
      </c>
      <c r="D20" s="155" t="s">
        <v>399</v>
      </c>
      <c r="E20" s="156">
        <f t="shared" si="0"/>
        <v>2397.49</v>
      </c>
      <c r="F20" s="157">
        <v>1059.47</v>
      </c>
      <c r="G20" s="158">
        <f>210.1+1127.92</f>
        <v>1338.02</v>
      </c>
    </row>
    <row r="21" s="128" customFormat="1" spans="1:7">
      <c r="A21" s="147" t="s">
        <v>400</v>
      </c>
      <c r="B21" s="148"/>
      <c r="C21" s="154">
        <v>503</v>
      </c>
      <c r="D21" s="151" t="s">
        <v>401</v>
      </c>
      <c r="E21" s="150">
        <f t="shared" si="0"/>
        <v>2034.08</v>
      </c>
      <c r="F21" s="150">
        <f>SUM(F22:F28)</f>
        <v>0</v>
      </c>
      <c r="G21" s="150">
        <f>SUM(G22:G28)</f>
        <v>2034.08</v>
      </c>
    </row>
    <row r="22" spans="1:7">
      <c r="A22" s="152" t="s">
        <v>402</v>
      </c>
      <c r="B22" s="153" t="s">
        <v>375</v>
      </c>
      <c r="C22" s="154">
        <v>50301</v>
      </c>
      <c r="D22" s="155" t="s">
        <v>403</v>
      </c>
      <c r="E22" s="156">
        <f t="shared" si="0"/>
        <v>0</v>
      </c>
      <c r="F22" s="159"/>
      <c r="G22" s="160"/>
    </row>
    <row r="23" spans="1:7">
      <c r="A23" s="152" t="s">
        <v>402</v>
      </c>
      <c r="B23" s="153" t="s">
        <v>377</v>
      </c>
      <c r="C23" s="154">
        <v>50302</v>
      </c>
      <c r="D23" s="155" t="s">
        <v>404</v>
      </c>
      <c r="E23" s="156">
        <f t="shared" si="0"/>
        <v>1854</v>
      </c>
      <c r="F23" s="159"/>
      <c r="G23" s="160">
        <v>1854</v>
      </c>
    </row>
    <row r="24" spans="1:7">
      <c r="A24" s="152" t="s">
        <v>402</v>
      </c>
      <c r="B24" s="153" t="s">
        <v>379</v>
      </c>
      <c r="C24" s="154">
        <v>50303</v>
      </c>
      <c r="D24" s="155" t="s">
        <v>405</v>
      </c>
      <c r="E24" s="156">
        <f t="shared" si="0"/>
        <v>140</v>
      </c>
      <c r="F24" s="159"/>
      <c r="G24" s="160">
        <v>140</v>
      </c>
    </row>
    <row r="25" spans="1:7">
      <c r="A25" s="152" t="s">
        <v>402</v>
      </c>
      <c r="B25" s="153" t="s">
        <v>391</v>
      </c>
      <c r="C25" s="154">
        <v>50305</v>
      </c>
      <c r="D25" s="155" t="s">
        <v>406</v>
      </c>
      <c r="E25" s="156">
        <f t="shared" si="0"/>
        <v>0</v>
      </c>
      <c r="F25" s="159"/>
      <c r="G25" s="160"/>
    </row>
    <row r="26" spans="1:7">
      <c r="A26" s="152" t="s">
        <v>402</v>
      </c>
      <c r="B26" s="153" t="s">
        <v>393</v>
      </c>
      <c r="C26" s="154">
        <v>50306</v>
      </c>
      <c r="D26" s="155" t="s">
        <v>407</v>
      </c>
      <c r="E26" s="156">
        <f t="shared" si="0"/>
        <v>40.08</v>
      </c>
      <c r="F26" s="159"/>
      <c r="G26" s="160">
        <v>40.08</v>
      </c>
    </row>
    <row r="27" spans="1:7">
      <c r="A27" s="152" t="s">
        <v>402</v>
      </c>
      <c r="B27" s="153" t="s">
        <v>408</v>
      </c>
      <c r="C27" s="154">
        <v>50307</v>
      </c>
      <c r="D27" s="155" t="s">
        <v>409</v>
      </c>
      <c r="E27" s="156">
        <f t="shared" si="0"/>
        <v>0</v>
      </c>
      <c r="F27" s="159"/>
      <c r="G27" s="160"/>
    </row>
    <row r="28" spans="1:7">
      <c r="A28" s="152" t="s">
        <v>402</v>
      </c>
      <c r="B28" s="153" t="s">
        <v>381</v>
      </c>
      <c r="C28" s="154">
        <v>50399</v>
      </c>
      <c r="D28" s="155" t="s">
        <v>410</v>
      </c>
      <c r="E28" s="156">
        <f t="shared" si="0"/>
        <v>0</v>
      </c>
      <c r="F28" s="159"/>
      <c r="G28" s="160"/>
    </row>
    <row r="29" s="128" customFormat="1" spans="1:7">
      <c r="A29" s="147" t="s">
        <v>411</v>
      </c>
      <c r="B29" s="148"/>
      <c r="C29" s="154">
        <v>505</v>
      </c>
      <c r="D29" s="151" t="s">
        <v>412</v>
      </c>
      <c r="E29" s="150">
        <f t="shared" si="0"/>
        <v>107795.38</v>
      </c>
      <c r="F29" s="150">
        <f>SUM(F30:F31)</f>
        <v>98599.11</v>
      </c>
      <c r="G29" s="161">
        <f>SUM(G30:G31)</f>
        <v>9196.27</v>
      </c>
    </row>
    <row r="30" spans="1:7">
      <c r="A30" s="152" t="s">
        <v>413</v>
      </c>
      <c r="B30" s="153" t="s">
        <v>375</v>
      </c>
      <c r="C30" s="154">
        <v>50501</v>
      </c>
      <c r="D30" s="155" t="s">
        <v>414</v>
      </c>
      <c r="E30" s="156">
        <f t="shared" si="0"/>
        <v>98502.44</v>
      </c>
      <c r="F30" s="162">
        <f>85378.11+8471-1800</f>
        <v>92049.11</v>
      </c>
      <c r="G30" s="158">
        <f>5403.33+1050</f>
        <v>6453.33</v>
      </c>
    </row>
    <row r="31" spans="1:7">
      <c r="A31" s="152" t="s">
        <v>413</v>
      </c>
      <c r="B31" s="153" t="s">
        <v>377</v>
      </c>
      <c r="C31" s="154">
        <v>50502</v>
      </c>
      <c r="D31" s="155" t="s">
        <v>415</v>
      </c>
      <c r="E31" s="156">
        <f t="shared" si="0"/>
        <v>9292.94</v>
      </c>
      <c r="F31" s="157">
        <v>6550</v>
      </c>
      <c r="G31" s="163">
        <f>2092.94+650</f>
        <v>2742.94</v>
      </c>
    </row>
    <row r="32" s="128" customFormat="1" spans="1:7">
      <c r="A32" s="147" t="s">
        <v>416</v>
      </c>
      <c r="B32" s="148"/>
      <c r="C32" s="154">
        <v>506</v>
      </c>
      <c r="D32" s="151" t="s">
        <v>417</v>
      </c>
      <c r="E32" s="150">
        <f t="shared" si="0"/>
        <v>169</v>
      </c>
      <c r="F32" s="150">
        <f>SUM(F33:F34)</f>
        <v>0</v>
      </c>
      <c r="G32" s="164">
        <f>SUM(G33:G34)</f>
        <v>169</v>
      </c>
    </row>
    <row r="33" spans="1:7">
      <c r="A33" s="152" t="s">
        <v>418</v>
      </c>
      <c r="B33" s="153" t="s">
        <v>375</v>
      </c>
      <c r="C33" s="154">
        <v>50601</v>
      </c>
      <c r="D33" s="155" t="s">
        <v>419</v>
      </c>
      <c r="E33" s="156">
        <f t="shared" si="0"/>
        <v>169</v>
      </c>
      <c r="F33" s="159"/>
      <c r="G33" s="156">
        <v>169</v>
      </c>
    </row>
    <row r="34" spans="1:7">
      <c r="A34" s="152" t="s">
        <v>418</v>
      </c>
      <c r="B34" s="153" t="s">
        <v>377</v>
      </c>
      <c r="C34" s="154">
        <v>50602</v>
      </c>
      <c r="D34" s="155" t="s">
        <v>420</v>
      </c>
      <c r="E34" s="156">
        <f t="shared" si="0"/>
        <v>0</v>
      </c>
      <c r="F34" s="159"/>
      <c r="G34" s="165"/>
    </row>
    <row r="35" s="128" customFormat="1" spans="1:7">
      <c r="A35" s="147" t="s">
        <v>421</v>
      </c>
      <c r="B35" s="148"/>
      <c r="C35" s="154">
        <v>507</v>
      </c>
      <c r="D35" s="151" t="s">
        <v>422</v>
      </c>
      <c r="E35" s="150">
        <f t="shared" si="0"/>
        <v>0</v>
      </c>
      <c r="F35" s="150">
        <f>SUM(F36:F38)</f>
        <v>0</v>
      </c>
      <c r="G35" s="150">
        <f>SUM(G36:G38)</f>
        <v>0</v>
      </c>
    </row>
    <row r="36" spans="1:7">
      <c r="A36" s="152" t="s">
        <v>423</v>
      </c>
      <c r="B36" s="153" t="s">
        <v>375</v>
      </c>
      <c r="C36" s="154">
        <v>50701</v>
      </c>
      <c r="D36" s="155" t="s">
        <v>424</v>
      </c>
      <c r="E36" s="156">
        <f t="shared" si="0"/>
        <v>0</v>
      </c>
      <c r="F36" s="159"/>
      <c r="G36" s="165"/>
    </row>
    <row r="37" spans="1:7">
      <c r="A37" s="152" t="s">
        <v>423</v>
      </c>
      <c r="B37" s="153" t="s">
        <v>377</v>
      </c>
      <c r="C37" s="154">
        <v>50702</v>
      </c>
      <c r="D37" s="155" t="s">
        <v>425</v>
      </c>
      <c r="E37" s="156">
        <f t="shared" si="0"/>
        <v>0</v>
      </c>
      <c r="F37" s="159"/>
      <c r="G37" s="165"/>
    </row>
    <row r="38" spans="1:7">
      <c r="A38" s="152" t="s">
        <v>423</v>
      </c>
      <c r="B38" s="153" t="s">
        <v>381</v>
      </c>
      <c r="C38" s="154">
        <v>50799</v>
      </c>
      <c r="D38" s="155" t="s">
        <v>426</v>
      </c>
      <c r="E38" s="156">
        <f t="shared" si="0"/>
        <v>0</v>
      </c>
      <c r="F38" s="159"/>
      <c r="G38" s="165"/>
    </row>
    <row r="39" s="128" customFormat="1" spans="1:7">
      <c r="A39" s="147" t="s">
        <v>427</v>
      </c>
      <c r="B39" s="148"/>
      <c r="C39" s="154">
        <v>509</v>
      </c>
      <c r="D39" s="151" t="s">
        <v>428</v>
      </c>
      <c r="E39" s="150">
        <f t="shared" si="0"/>
        <v>19893.63</v>
      </c>
      <c r="F39" s="150">
        <f>SUM(F40:F44)</f>
        <v>12663.95</v>
      </c>
      <c r="G39" s="150">
        <f>SUM(G40:G44)</f>
        <v>7229.68</v>
      </c>
    </row>
    <row r="40" spans="1:7">
      <c r="A40" s="152" t="s">
        <v>429</v>
      </c>
      <c r="B40" s="153" t="s">
        <v>375</v>
      </c>
      <c r="C40" s="154">
        <v>50901</v>
      </c>
      <c r="D40" s="155" t="s">
        <v>430</v>
      </c>
      <c r="E40" s="156">
        <f t="shared" si="0"/>
        <v>11824.08</v>
      </c>
      <c r="F40" s="157">
        <f>5413.19+600</f>
        <v>6013.19</v>
      </c>
      <c r="G40" s="158">
        <v>5810.89</v>
      </c>
    </row>
    <row r="41" spans="1:7">
      <c r="A41" s="152" t="s">
        <v>429</v>
      </c>
      <c r="B41" s="153" t="s">
        <v>377</v>
      </c>
      <c r="C41" s="154">
        <v>50902</v>
      </c>
      <c r="D41" s="155" t="s">
        <v>431</v>
      </c>
      <c r="E41" s="156">
        <f t="shared" si="0"/>
        <v>375.1</v>
      </c>
      <c r="F41" s="157"/>
      <c r="G41" s="158">
        <v>375.1</v>
      </c>
    </row>
    <row r="42" spans="1:7">
      <c r="A42" s="152" t="s">
        <v>429</v>
      </c>
      <c r="B42" s="153" t="s">
        <v>379</v>
      </c>
      <c r="C42" s="154">
        <v>50903</v>
      </c>
      <c r="D42" s="155" t="s">
        <v>432</v>
      </c>
      <c r="E42" s="156">
        <f t="shared" si="0"/>
        <v>501.29</v>
      </c>
      <c r="F42" s="157"/>
      <c r="G42" s="158">
        <v>501.29</v>
      </c>
    </row>
    <row r="43" spans="1:7">
      <c r="A43" s="152" t="s">
        <v>429</v>
      </c>
      <c r="B43" s="153" t="s">
        <v>391</v>
      </c>
      <c r="C43" s="154">
        <v>50905</v>
      </c>
      <c r="D43" s="155" t="s">
        <v>433</v>
      </c>
      <c r="E43" s="156">
        <f t="shared" si="0"/>
        <v>6510.15</v>
      </c>
      <c r="F43" s="157">
        <v>6428.15</v>
      </c>
      <c r="G43" s="158">
        <v>82</v>
      </c>
    </row>
    <row r="44" spans="1:7">
      <c r="A44" s="152" t="s">
        <v>429</v>
      </c>
      <c r="B44" s="153" t="s">
        <v>381</v>
      </c>
      <c r="C44" s="154">
        <v>50999</v>
      </c>
      <c r="D44" s="155" t="s">
        <v>434</v>
      </c>
      <c r="E44" s="156">
        <f t="shared" si="0"/>
        <v>683.01</v>
      </c>
      <c r="F44" s="157">
        <v>222.61</v>
      </c>
      <c r="G44" s="158">
        <v>460.4</v>
      </c>
    </row>
    <row r="45" s="128" customFormat="1" spans="1:7">
      <c r="A45" s="147" t="s">
        <v>435</v>
      </c>
      <c r="B45" s="148"/>
      <c r="C45" s="154">
        <v>510</v>
      </c>
      <c r="D45" s="151" t="s">
        <v>436</v>
      </c>
      <c r="E45" s="150">
        <f t="shared" si="0"/>
        <v>10000</v>
      </c>
      <c r="F45" s="150">
        <f>SUM(F46:F47)</f>
        <v>10000</v>
      </c>
      <c r="G45" s="150">
        <f>SUM(G46:G47)</f>
        <v>0</v>
      </c>
    </row>
    <row r="46" s="129" customFormat="1" spans="1:7">
      <c r="A46" s="152" t="s">
        <v>437</v>
      </c>
      <c r="B46" s="153" t="s">
        <v>377</v>
      </c>
      <c r="C46" s="154">
        <v>51002</v>
      </c>
      <c r="D46" s="155" t="s">
        <v>438</v>
      </c>
      <c r="E46" s="156">
        <f t="shared" si="0"/>
        <v>10000</v>
      </c>
      <c r="F46" s="159">
        <v>10000</v>
      </c>
      <c r="G46" s="165"/>
    </row>
    <row r="47" spans="1:7">
      <c r="A47" s="152" t="s">
        <v>437</v>
      </c>
      <c r="B47" s="153" t="s">
        <v>389</v>
      </c>
      <c r="C47" s="154">
        <v>51004</v>
      </c>
      <c r="D47" s="155" t="s">
        <v>439</v>
      </c>
      <c r="E47" s="156">
        <f t="shared" si="0"/>
        <v>0</v>
      </c>
      <c r="F47" s="159"/>
      <c r="G47" s="163"/>
    </row>
    <row r="48" s="128" customFormat="1" spans="1:7">
      <c r="A48" s="147" t="s">
        <v>440</v>
      </c>
      <c r="B48" s="148"/>
      <c r="C48" s="154">
        <v>511</v>
      </c>
      <c r="D48" s="151" t="s">
        <v>441</v>
      </c>
      <c r="E48" s="150">
        <f t="shared" si="0"/>
        <v>0</v>
      </c>
      <c r="F48" s="150">
        <f t="shared" ref="F48:F52" si="1">SUM(F49)</f>
        <v>0</v>
      </c>
      <c r="G48" s="150">
        <f t="shared" ref="G48:G52" si="2">SUM(G49)</f>
        <v>0</v>
      </c>
    </row>
    <row r="49" s="130" customFormat="1" spans="1:7">
      <c r="A49" s="152" t="s">
        <v>442</v>
      </c>
      <c r="B49" s="153" t="s">
        <v>375</v>
      </c>
      <c r="C49" s="154">
        <v>51101</v>
      </c>
      <c r="D49" s="155" t="s">
        <v>443</v>
      </c>
      <c r="E49" s="156">
        <f t="shared" si="0"/>
        <v>0</v>
      </c>
      <c r="F49" s="159"/>
      <c r="G49" s="159"/>
    </row>
    <row r="50" s="128" customFormat="1" spans="1:7">
      <c r="A50" s="147" t="s">
        <v>444</v>
      </c>
      <c r="B50" s="148"/>
      <c r="C50" s="154">
        <v>514</v>
      </c>
      <c r="D50" s="151" t="s">
        <v>445</v>
      </c>
      <c r="E50" s="150">
        <f t="shared" si="0"/>
        <v>2300</v>
      </c>
      <c r="F50" s="150">
        <f t="shared" si="1"/>
        <v>0</v>
      </c>
      <c r="G50" s="150">
        <f t="shared" si="2"/>
        <v>2300</v>
      </c>
    </row>
    <row r="51" spans="1:7">
      <c r="A51" s="152" t="s">
        <v>446</v>
      </c>
      <c r="B51" s="153" t="s">
        <v>375</v>
      </c>
      <c r="C51" s="154">
        <v>51401</v>
      </c>
      <c r="D51" s="155" t="s">
        <v>447</v>
      </c>
      <c r="E51" s="156">
        <f t="shared" si="0"/>
        <v>2300</v>
      </c>
      <c r="F51" s="159"/>
      <c r="G51" s="160">
        <v>2300</v>
      </c>
    </row>
    <row r="52" s="128" customFormat="1" spans="1:7">
      <c r="A52" s="147" t="s">
        <v>448</v>
      </c>
      <c r="B52" s="148"/>
      <c r="C52" s="154">
        <v>599</v>
      </c>
      <c r="D52" s="151" t="s">
        <v>234</v>
      </c>
      <c r="E52" s="150">
        <f t="shared" si="0"/>
        <v>292.35</v>
      </c>
      <c r="F52" s="150">
        <f t="shared" si="1"/>
        <v>0</v>
      </c>
      <c r="G52" s="150">
        <f t="shared" si="2"/>
        <v>292.35</v>
      </c>
    </row>
    <row r="53" spans="1:7">
      <c r="A53" s="152" t="s">
        <v>449</v>
      </c>
      <c r="B53" s="153" t="s">
        <v>381</v>
      </c>
      <c r="C53" s="154">
        <v>59999</v>
      </c>
      <c r="D53" s="155" t="s">
        <v>450</v>
      </c>
      <c r="E53" s="156">
        <f t="shared" si="0"/>
        <v>292.35</v>
      </c>
      <c r="F53" s="159"/>
      <c r="G53" s="159">
        <v>292.35</v>
      </c>
    </row>
  </sheetData>
  <autoFilter ref="A4:IG53">
    <extLst/>
  </autoFilter>
  <mergeCells count="7">
    <mergeCell ref="A1:G1"/>
    <mergeCell ref="F2:G2"/>
    <mergeCell ref="A3:B3"/>
    <mergeCell ref="D3:D4"/>
    <mergeCell ref="E3:E4"/>
    <mergeCell ref="F3:F4"/>
    <mergeCell ref="G3:G4"/>
  </mergeCells>
  <pageMargins left="0.865277777777778" right="0.0388888888888889" top="0.275" bottom="0.432638888888889" header="0.0777777777777778" footer="0.118055555555556"/>
  <pageSetup paperSize="9" scale="95" orientation="portrait"/>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0"/>
  <sheetViews>
    <sheetView showZeros="0" workbookViewId="0">
      <pane xSplit="1" ySplit="4" topLeftCell="B5" activePane="bottomRight" state="frozenSplit"/>
      <selection/>
      <selection pane="topRight"/>
      <selection pane="bottomLeft"/>
      <selection pane="bottomRight" activeCell="F43" sqref="F43"/>
    </sheetView>
  </sheetViews>
  <sheetFormatPr defaultColWidth="9" defaultRowHeight="14.25"/>
  <cols>
    <col min="1" max="1" width="36.1" style="96" customWidth="1"/>
    <col min="2" max="2" width="7.4" style="100" customWidth="1"/>
    <col min="3" max="3" width="9" style="100" customWidth="1"/>
    <col min="4" max="4" width="10.5" style="101" customWidth="1"/>
    <col min="5" max="5" width="10.5" style="100" customWidth="1"/>
    <col min="6" max="6" width="9.5" style="100" customWidth="1"/>
    <col min="7" max="7" width="9.9" style="96" customWidth="1"/>
    <col min="8" max="8" width="29.1" style="96" customWidth="1"/>
    <col min="9" max="9" width="21.7" style="96" hidden="1" customWidth="1"/>
    <col min="10" max="10" width="9" style="96" hidden="1" customWidth="1"/>
    <col min="11" max="11" width="2.1" style="96" hidden="1" customWidth="1"/>
    <col min="12" max="12" width="14.9" style="96" hidden="1" customWidth="1"/>
    <col min="13" max="18" width="9" style="96" hidden="1" customWidth="1"/>
    <col min="19" max="16382" width="9" style="96"/>
    <col min="16383" max="16384" width="9" style="102"/>
  </cols>
  <sheetData>
    <row r="1" s="96" customFormat="1" ht="21" customHeight="1" spans="1:16384">
      <c r="A1" s="103" t="s">
        <v>451</v>
      </c>
      <c r="B1" s="103"/>
      <c r="C1" s="103"/>
      <c r="D1" s="104"/>
      <c r="E1" s="103"/>
      <c r="F1" s="105"/>
      <c r="G1" s="103"/>
      <c r="H1" s="103"/>
      <c r="XFC1" s="102"/>
      <c r="XFD1" s="102"/>
    </row>
    <row r="2" s="97" customFormat="1" customHeight="1" spans="1:8">
      <c r="A2" s="106"/>
      <c r="B2" s="107"/>
      <c r="C2" s="108"/>
      <c r="D2" s="109"/>
      <c r="E2" s="107"/>
      <c r="F2" s="107"/>
      <c r="G2" s="110"/>
      <c r="H2" s="111" t="s">
        <v>12</v>
      </c>
    </row>
    <row r="3" s="97" customFormat="1" ht="15.75" customHeight="1" spans="1:8">
      <c r="A3" s="112" t="s">
        <v>452</v>
      </c>
      <c r="B3" s="113" t="s">
        <v>453</v>
      </c>
      <c r="C3" s="112" t="s">
        <v>454</v>
      </c>
      <c r="D3" s="114"/>
      <c r="E3" s="112"/>
      <c r="F3" s="113" t="s">
        <v>455</v>
      </c>
      <c r="G3" s="112"/>
      <c r="H3" s="112"/>
    </row>
    <row r="4" s="97" customFormat="1" ht="24" customHeight="1" spans="1:13">
      <c r="A4" s="112"/>
      <c r="B4" s="113"/>
      <c r="C4" s="113" t="s">
        <v>17</v>
      </c>
      <c r="D4" s="115" t="s">
        <v>18</v>
      </c>
      <c r="E4" s="116" t="s">
        <v>20</v>
      </c>
      <c r="F4" s="113" t="s">
        <v>17</v>
      </c>
      <c r="G4" s="117" t="s">
        <v>20</v>
      </c>
      <c r="H4" s="112" t="s">
        <v>60</v>
      </c>
      <c r="L4" s="97" t="s">
        <v>456</v>
      </c>
      <c r="M4" s="97" t="s">
        <v>457</v>
      </c>
    </row>
    <row r="5" s="97" customFormat="1" ht="29.1" customHeight="1" spans="1:8">
      <c r="A5" s="61" t="s">
        <v>458</v>
      </c>
      <c r="B5" s="66">
        <v>63989</v>
      </c>
      <c r="C5" s="118">
        <v>45</v>
      </c>
      <c r="D5" s="66">
        <v>5945.3776</v>
      </c>
      <c r="E5" s="119">
        <f t="shared" ref="E5:E7" si="0">(D5-B5)/B5*100</f>
        <v>-90.7087505665036</v>
      </c>
      <c r="F5" s="66"/>
      <c r="G5" s="119">
        <f t="shared" ref="G5:G44" si="1">IFERROR((F5-D5)/D5*100,0)</f>
        <v>-100</v>
      </c>
      <c r="H5" s="61"/>
    </row>
    <row r="6" s="97" customFormat="1" ht="18" customHeight="1" spans="1:8">
      <c r="A6" s="61" t="s">
        <v>459</v>
      </c>
      <c r="B6" s="66">
        <v>731</v>
      </c>
      <c r="C6" s="118">
        <v>700</v>
      </c>
      <c r="D6" s="66">
        <v>784.1276</v>
      </c>
      <c r="E6" s="119">
        <f t="shared" si="0"/>
        <v>7.2677975376197</v>
      </c>
      <c r="F6" s="118">
        <v>1100</v>
      </c>
      <c r="G6" s="119">
        <f t="shared" si="1"/>
        <v>40.2832906276989</v>
      </c>
      <c r="H6" s="61"/>
    </row>
    <row r="7" s="97" customFormat="1" ht="18" customHeight="1" spans="1:8">
      <c r="A7" s="61" t="s">
        <v>460</v>
      </c>
      <c r="B7" s="66">
        <v>2535</v>
      </c>
      <c r="C7" s="118">
        <v>3000</v>
      </c>
      <c r="D7" s="66">
        <v>2436.7553</v>
      </c>
      <c r="E7" s="119">
        <f t="shared" si="0"/>
        <v>-3.87553057199212</v>
      </c>
      <c r="F7" s="118">
        <v>2700</v>
      </c>
      <c r="G7" s="119">
        <f t="shared" si="1"/>
        <v>10.8030830998911</v>
      </c>
      <c r="H7" s="61"/>
    </row>
    <row r="8" s="97" customFormat="1" ht="18" customHeight="1" spans="1:10">
      <c r="A8" s="61" t="s">
        <v>461</v>
      </c>
      <c r="B8" s="66">
        <v>1032</v>
      </c>
      <c r="C8" s="66"/>
      <c r="D8" s="66"/>
      <c r="E8" s="119"/>
      <c r="F8" s="118"/>
      <c r="G8" s="119">
        <f t="shared" si="1"/>
        <v>0</v>
      </c>
      <c r="H8" s="61"/>
      <c r="J8" s="97" t="s">
        <v>462</v>
      </c>
    </row>
    <row r="9" s="97" customFormat="1" ht="18" customHeight="1" spans="1:8">
      <c r="A9" s="61" t="s">
        <v>463</v>
      </c>
      <c r="B9" s="66">
        <v>6116</v>
      </c>
      <c r="C9" s="66">
        <v>6528</v>
      </c>
      <c r="D9" s="66">
        <v>10026.4063</v>
      </c>
      <c r="E9" s="119">
        <f t="shared" ref="E9:E13" si="2">(D9-B9)/B9*100</f>
        <v>63.9373168737737</v>
      </c>
      <c r="F9" s="118">
        <v>7217</v>
      </c>
      <c r="G9" s="119">
        <f t="shared" si="1"/>
        <v>-28.0200723563337</v>
      </c>
      <c r="H9" s="61"/>
    </row>
    <row r="10" s="98" customFormat="1" ht="18" customHeight="1" spans="1:8">
      <c r="A10" s="112" t="s">
        <v>464</v>
      </c>
      <c r="B10" s="120">
        <f t="shared" ref="B10:F10" si="3">SUM(B5:B9)</f>
        <v>74403</v>
      </c>
      <c r="C10" s="120">
        <f t="shared" si="3"/>
        <v>10273</v>
      </c>
      <c r="D10" s="120">
        <f t="shared" si="3"/>
        <v>19192.6668</v>
      </c>
      <c r="E10" s="121">
        <f t="shared" si="2"/>
        <v>-74.2044449820572</v>
      </c>
      <c r="F10" s="120">
        <f t="shared" si="3"/>
        <v>11017</v>
      </c>
      <c r="G10" s="121">
        <f t="shared" si="1"/>
        <v>-42.5978676397383</v>
      </c>
      <c r="H10" s="122"/>
    </row>
    <row r="11" s="97" customFormat="1" ht="18" customHeight="1" spans="1:8">
      <c r="A11" s="61" t="s">
        <v>465</v>
      </c>
      <c r="B11" s="66">
        <f t="shared" ref="B11:F11" si="4">SUM(B12:B15)</f>
        <v>49051</v>
      </c>
      <c r="C11" s="66">
        <f t="shared" si="4"/>
        <v>204788.32</v>
      </c>
      <c r="D11" s="66">
        <f t="shared" si="4"/>
        <v>223629</v>
      </c>
      <c r="E11" s="119">
        <f t="shared" si="2"/>
        <v>355.911194471061</v>
      </c>
      <c r="F11" s="66">
        <f t="shared" si="4"/>
        <v>93682.56</v>
      </c>
      <c r="G11" s="119">
        <f t="shared" si="1"/>
        <v>-58.1080450209946</v>
      </c>
      <c r="H11" s="123"/>
    </row>
    <row r="12" s="97" customFormat="1" ht="27" customHeight="1" spans="1:9">
      <c r="A12" s="61" t="s">
        <v>466</v>
      </c>
      <c r="B12" s="118">
        <v>14315</v>
      </c>
      <c r="C12" s="66">
        <v>40879.32</v>
      </c>
      <c r="D12" s="66">
        <v>31417</v>
      </c>
      <c r="E12" s="119">
        <f t="shared" si="2"/>
        <v>119.469088368844</v>
      </c>
      <c r="F12" s="66">
        <f>70000+967.56</f>
        <v>70967.56</v>
      </c>
      <c r="G12" s="119">
        <f t="shared" si="1"/>
        <v>125.889040965083</v>
      </c>
      <c r="H12" s="61" t="s">
        <v>467</v>
      </c>
      <c r="I12" s="97" t="s">
        <v>468</v>
      </c>
    </row>
    <row r="13" s="97" customFormat="1" ht="18" customHeight="1" spans="1:8">
      <c r="A13" s="61" t="s">
        <v>469</v>
      </c>
      <c r="B13" s="118">
        <v>5636</v>
      </c>
      <c r="C13" s="66">
        <v>13050</v>
      </c>
      <c r="D13" s="66">
        <v>13050</v>
      </c>
      <c r="E13" s="119">
        <f t="shared" si="2"/>
        <v>131.547196593329</v>
      </c>
      <c r="F13" s="66">
        <v>22715</v>
      </c>
      <c r="G13" s="119">
        <f t="shared" si="1"/>
        <v>74.0613026819923</v>
      </c>
      <c r="H13" s="123"/>
    </row>
    <row r="14" s="97" customFormat="1" ht="18" customHeight="1" spans="1:8">
      <c r="A14" s="61" t="s">
        <v>470</v>
      </c>
      <c r="B14" s="66"/>
      <c r="C14" s="66"/>
      <c r="D14" s="66"/>
      <c r="E14" s="119"/>
      <c r="F14" s="66"/>
      <c r="G14" s="119">
        <f t="shared" si="1"/>
        <v>0</v>
      </c>
      <c r="H14" s="123"/>
    </row>
    <row r="15" s="97" customFormat="1" ht="18" customHeight="1" spans="1:8">
      <c r="A15" s="61" t="s">
        <v>471</v>
      </c>
      <c r="B15" s="66">
        <v>29100</v>
      </c>
      <c r="C15" s="66">
        <v>150859</v>
      </c>
      <c r="D15" s="66">
        <f>150859+28303</f>
        <v>179162</v>
      </c>
      <c r="E15" s="119">
        <f t="shared" ref="E15:E20" si="5">(D15-B15)/B15*100</f>
        <v>515.676975945017</v>
      </c>
      <c r="F15" s="66"/>
      <c r="G15" s="119">
        <f t="shared" si="1"/>
        <v>-100</v>
      </c>
      <c r="H15" s="123"/>
    </row>
    <row r="16" s="98" customFormat="1" ht="18" customHeight="1" spans="1:8">
      <c r="A16" s="112" t="s">
        <v>274</v>
      </c>
      <c r="B16" s="120">
        <f t="shared" ref="B16:F16" si="6">SUM(B10,B11)</f>
        <v>123454</v>
      </c>
      <c r="C16" s="120">
        <f t="shared" si="6"/>
        <v>215061.32</v>
      </c>
      <c r="D16" s="120">
        <f t="shared" si="6"/>
        <v>242821.6668</v>
      </c>
      <c r="E16" s="121">
        <f t="shared" si="5"/>
        <v>96.6899953018938</v>
      </c>
      <c r="F16" s="120">
        <f t="shared" si="6"/>
        <v>104699.56</v>
      </c>
      <c r="G16" s="121">
        <f t="shared" si="1"/>
        <v>-56.8821179016798</v>
      </c>
      <c r="H16" s="124"/>
    </row>
    <row r="17" s="97" customFormat="1" ht="18" customHeight="1" spans="1:8">
      <c r="A17" s="61" t="s">
        <v>472</v>
      </c>
      <c r="B17" s="66">
        <f>+B18</f>
        <v>10</v>
      </c>
      <c r="C17" s="66">
        <f t="shared" ref="C17:F17" si="7">C18</f>
        <v>10.9</v>
      </c>
      <c r="D17" s="66">
        <f t="shared" si="7"/>
        <v>10</v>
      </c>
      <c r="E17" s="119">
        <f t="shared" si="5"/>
        <v>0</v>
      </c>
      <c r="F17" s="66">
        <f t="shared" si="7"/>
        <v>0</v>
      </c>
      <c r="G17" s="119">
        <f t="shared" si="1"/>
        <v>-100</v>
      </c>
      <c r="H17" s="123"/>
    </row>
    <row r="18" s="97" customFormat="1" ht="18" customHeight="1" spans="1:8">
      <c r="A18" s="61" t="s">
        <v>473</v>
      </c>
      <c r="B18" s="66">
        <v>10</v>
      </c>
      <c r="C18" s="66">
        <v>10.9</v>
      </c>
      <c r="D18" s="66">
        <v>10</v>
      </c>
      <c r="E18" s="119">
        <f t="shared" si="5"/>
        <v>0</v>
      </c>
      <c r="F18" s="66"/>
      <c r="G18" s="119">
        <f t="shared" si="1"/>
        <v>-100</v>
      </c>
      <c r="H18" s="123"/>
    </row>
    <row r="19" s="97" customFormat="1" ht="18" customHeight="1" spans="1:17">
      <c r="A19" s="61" t="s">
        <v>474</v>
      </c>
      <c r="B19" s="66">
        <f t="shared" ref="B19:F19" si="8">SUM(B20:B25)</f>
        <v>71612</v>
      </c>
      <c r="C19" s="66">
        <f t="shared" si="8"/>
        <v>46537.7594</v>
      </c>
      <c r="D19" s="66">
        <f t="shared" si="8"/>
        <v>58641.970044</v>
      </c>
      <c r="E19" s="119">
        <f t="shared" si="5"/>
        <v>-18.1115315254427</v>
      </c>
      <c r="F19" s="66">
        <f t="shared" si="8"/>
        <v>72250</v>
      </c>
      <c r="G19" s="119">
        <f t="shared" si="1"/>
        <v>23.2052742187714</v>
      </c>
      <c r="H19" s="123"/>
      <c r="N19" s="97">
        <v>28889</v>
      </c>
      <c r="O19" s="97">
        <f>N19-F23-F24</f>
        <v>25089</v>
      </c>
      <c r="P19" s="97">
        <v>25337</v>
      </c>
      <c r="Q19" s="97">
        <f>O19-P19</f>
        <v>-248</v>
      </c>
    </row>
    <row r="20" s="98" customFormat="1" ht="18" customHeight="1" spans="1:17">
      <c r="A20" s="125" t="s">
        <v>475</v>
      </c>
      <c r="B20" s="66">
        <v>68318</v>
      </c>
      <c r="C20" s="66">
        <v>42837.7594</v>
      </c>
      <c r="D20" s="66">
        <v>37931</v>
      </c>
      <c r="E20" s="119">
        <f t="shared" si="5"/>
        <v>-44.4787610878539</v>
      </c>
      <c r="F20" s="66">
        <f>1300+25348-11+31000</f>
        <v>57637</v>
      </c>
      <c r="G20" s="119">
        <f t="shared" si="1"/>
        <v>51.9522290474809</v>
      </c>
      <c r="H20" s="61"/>
      <c r="L20" s="98">
        <v>1300</v>
      </c>
      <c r="N20" s="98">
        <v>25089</v>
      </c>
      <c r="O20" s="98">
        <f>F20-N20</f>
        <v>32548</v>
      </c>
      <c r="P20" s="98">
        <v>1300</v>
      </c>
      <c r="Q20" s="98">
        <f>O20-P20</f>
        <v>31248</v>
      </c>
    </row>
    <row r="21" s="96" customFormat="1" ht="18" customHeight="1" spans="1:16384">
      <c r="A21" s="125" t="s">
        <v>476</v>
      </c>
      <c r="B21" s="66"/>
      <c r="C21" s="66"/>
      <c r="D21" s="66"/>
      <c r="E21" s="119"/>
      <c r="F21" s="66"/>
      <c r="G21" s="119">
        <f t="shared" si="1"/>
        <v>0</v>
      </c>
      <c r="H21" s="61"/>
      <c r="XFC21" s="102"/>
      <c r="XFD21" s="102"/>
    </row>
    <row r="22" s="96" customFormat="1" ht="18" customHeight="1" spans="1:16384">
      <c r="A22" s="125" t="s">
        <v>477</v>
      </c>
      <c r="B22" s="66">
        <v>28</v>
      </c>
      <c r="C22" s="66"/>
      <c r="D22" s="66"/>
      <c r="E22" s="119">
        <f t="shared" ref="E22:E24" si="9">(D22-B22)/B22*100</f>
        <v>-100</v>
      </c>
      <c r="F22" s="66"/>
      <c r="G22" s="119">
        <f t="shared" si="1"/>
        <v>0</v>
      </c>
      <c r="H22" s="61"/>
      <c r="XFC22" s="102"/>
      <c r="XFD22" s="102"/>
    </row>
    <row r="23" s="96" customFormat="1" ht="21" customHeight="1" spans="1:16384">
      <c r="A23" s="125" t="s">
        <v>478</v>
      </c>
      <c r="B23" s="66">
        <v>2535</v>
      </c>
      <c r="C23" s="66">
        <v>3000</v>
      </c>
      <c r="D23" s="66">
        <v>2436.938888</v>
      </c>
      <c r="E23" s="119">
        <f t="shared" si="9"/>
        <v>-3.86828844181459</v>
      </c>
      <c r="F23" s="66">
        <v>2700</v>
      </c>
      <c r="G23" s="119">
        <f t="shared" si="1"/>
        <v>10.7947356946605</v>
      </c>
      <c r="H23" s="123"/>
      <c r="J23" s="97" t="s">
        <v>479</v>
      </c>
      <c r="K23" s="96" t="e">
        <f>D23-J23</f>
        <v>#VALUE!</v>
      </c>
      <c r="XFC23" s="102"/>
      <c r="XFD23" s="102"/>
    </row>
    <row r="24" s="96" customFormat="1" ht="18" customHeight="1" spans="1:16384">
      <c r="A24" s="125" t="s">
        <v>480</v>
      </c>
      <c r="B24" s="66">
        <v>731</v>
      </c>
      <c r="C24" s="66">
        <v>700</v>
      </c>
      <c r="D24" s="66">
        <v>784.321156</v>
      </c>
      <c r="E24" s="119">
        <f t="shared" si="9"/>
        <v>7.2942757865937</v>
      </c>
      <c r="F24" s="66">
        <v>1100</v>
      </c>
      <c r="G24" s="119">
        <f t="shared" si="1"/>
        <v>40.248671298113</v>
      </c>
      <c r="H24" s="123"/>
      <c r="XFC24" s="102"/>
      <c r="XFD24" s="102"/>
    </row>
    <row r="25" s="96" customFormat="1" ht="43.05" customHeight="1" spans="1:16384">
      <c r="A25" s="61" t="s">
        <v>481</v>
      </c>
      <c r="B25" s="66"/>
      <c r="C25" s="66"/>
      <c r="D25" s="66">
        <v>17489.71</v>
      </c>
      <c r="E25" s="119"/>
      <c r="F25" s="66">
        <v>10813</v>
      </c>
      <c r="G25" s="119">
        <f t="shared" si="1"/>
        <v>-38.1750755158319</v>
      </c>
      <c r="H25" s="123"/>
      <c r="L25" s="96">
        <v>10813</v>
      </c>
      <c r="XFC25" s="102"/>
      <c r="XFD25" s="102"/>
    </row>
    <row r="26" s="96" customFormat="1" ht="18" customHeight="1" spans="1:16384">
      <c r="A26" s="61" t="s">
        <v>482</v>
      </c>
      <c r="B26" s="66">
        <f>SUM(B27:B30)</f>
        <v>354</v>
      </c>
      <c r="C26" s="66">
        <f>SUM(C27:C30)</f>
        <v>1299.69</v>
      </c>
      <c r="D26" s="66">
        <f>SUM(D27:D30)</f>
        <v>387.3613</v>
      </c>
      <c r="E26" s="119">
        <f t="shared" ref="E26:E39" si="10">(D26-B26)/B26*100</f>
        <v>9.42409604519773</v>
      </c>
      <c r="F26" s="66">
        <f>F27+F28+F29+F30</f>
        <v>1167.12</v>
      </c>
      <c r="G26" s="119">
        <f t="shared" si="1"/>
        <v>201.300104063054</v>
      </c>
      <c r="H26" s="123"/>
      <c r="XFC26" s="102"/>
      <c r="XFD26" s="102"/>
    </row>
    <row r="27" s="96" customFormat="1" ht="18" customHeight="1" spans="1:16384">
      <c r="A27" s="61" t="s">
        <v>483</v>
      </c>
      <c r="B27" s="66">
        <v>5</v>
      </c>
      <c r="C27" s="66">
        <v>254.1</v>
      </c>
      <c r="D27" s="66">
        <v>36.9389</v>
      </c>
      <c r="E27" s="119"/>
      <c r="F27" s="66">
        <v>286.06</v>
      </c>
      <c r="G27" s="119">
        <f t="shared" si="1"/>
        <v>674.413964682219</v>
      </c>
      <c r="H27" s="123"/>
      <c r="L27" s="96">
        <v>286.06</v>
      </c>
      <c r="XFC27" s="102"/>
      <c r="XFD27" s="102"/>
    </row>
    <row r="28" s="96" customFormat="1" ht="18" customHeight="1" spans="1:16384">
      <c r="A28" s="61" t="s">
        <v>484</v>
      </c>
      <c r="B28" s="66"/>
      <c r="C28" s="66">
        <v>192</v>
      </c>
      <c r="D28" s="66"/>
      <c r="E28" s="119"/>
      <c r="F28" s="66">
        <v>192</v>
      </c>
      <c r="G28" s="119">
        <f t="shared" si="1"/>
        <v>0</v>
      </c>
      <c r="H28" s="123"/>
      <c r="L28" s="96">
        <v>192</v>
      </c>
      <c r="XFC28" s="102"/>
      <c r="XFD28" s="102"/>
    </row>
    <row r="29" s="96" customFormat="1" ht="18" customHeight="1" spans="1:16384">
      <c r="A29" s="61" t="s">
        <v>485</v>
      </c>
      <c r="B29" s="66">
        <v>346</v>
      </c>
      <c r="C29" s="66">
        <v>768.59</v>
      </c>
      <c r="D29" s="66">
        <v>350.4224</v>
      </c>
      <c r="E29" s="119">
        <f t="shared" si="10"/>
        <v>1.27815028901734</v>
      </c>
      <c r="F29" s="66">
        <f>358.4+297.66</f>
        <v>656.06</v>
      </c>
      <c r="G29" s="119">
        <f t="shared" si="1"/>
        <v>87.2197667729004</v>
      </c>
      <c r="H29" s="123"/>
      <c r="L29" s="96">
        <v>358.4</v>
      </c>
      <c r="M29" s="96">
        <v>297.66</v>
      </c>
      <c r="XFC29" s="102"/>
      <c r="XFD29" s="102"/>
    </row>
    <row r="30" s="96" customFormat="1" ht="18" customHeight="1" spans="1:16384">
      <c r="A30" s="61" t="s">
        <v>486</v>
      </c>
      <c r="B30" s="66">
        <v>3</v>
      </c>
      <c r="C30" s="66">
        <v>85</v>
      </c>
      <c r="D30" s="66"/>
      <c r="E30" s="119"/>
      <c r="F30" s="66">
        <v>33</v>
      </c>
      <c r="G30" s="119">
        <f t="shared" si="1"/>
        <v>0</v>
      </c>
      <c r="H30" s="123"/>
      <c r="L30" s="96">
        <v>33</v>
      </c>
      <c r="XFC30" s="102"/>
      <c r="XFD30" s="102"/>
    </row>
    <row r="31" s="96" customFormat="1" ht="18" customHeight="1" spans="1:16384">
      <c r="A31" s="61" t="s">
        <v>487</v>
      </c>
      <c r="B31" s="66">
        <f>SUM(B32:B33)</f>
        <v>22107</v>
      </c>
      <c r="C31" s="66">
        <f>C32+C33</f>
        <v>6760.67</v>
      </c>
      <c r="D31" s="66">
        <f>D33+D32</f>
        <v>850.534146</v>
      </c>
      <c r="E31" s="119">
        <f t="shared" si="10"/>
        <v>-96.1526478219568</v>
      </c>
      <c r="F31" s="66">
        <f>F32+F33</f>
        <v>6581.86</v>
      </c>
      <c r="G31" s="119">
        <f t="shared" si="1"/>
        <v>673.850177674113</v>
      </c>
      <c r="H31" s="123"/>
      <c r="XFC31" s="102"/>
      <c r="XFD31" s="102"/>
    </row>
    <row r="32" s="96" customFormat="1" ht="24" customHeight="1" spans="1:16384">
      <c r="A32" s="61" t="s">
        <v>488</v>
      </c>
      <c r="B32" s="66">
        <v>21700</v>
      </c>
      <c r="C32" s="66">
        <v>5500</v>
      </c>
      <c r="D32" s="66"/>
      <c r="E32" s="119">
        <f t="shared" si="10"/>
        <v>-100</v>
      </c>
      <c r="F32" s="66">
        <v>5500</v>
      </c>
      <c r="G32" s="119">
        <f t="shared" si="1"/>
        <v>0</v>
      </c>
      <c r="H32" s="123"/>
      <c r="L32" s="96">
        <v>5500</v>
      </c>
      <c r="XFC32" s="102"/>
      <c r="XFD32" s="102"/>
    </row>
    <row r="33" s="96" customFormat="1" ht="18" customHeight="1" spans="1:16384">
      <c r="A33" s="61" t="s">
        <v>489</v>
      </c>
      <c r="B33" s="66">
        <v>407</v>
      </c>
      <c r="C33" s="66">
        <v>1260.67</v>
      </c>
      <c r="D33" s="66">
        <v>850.534146</v>
      </c>
      <c r="E33" s="119">
        <f t="shared" si="10"/>
        <v>108.976448648649</v>
      </c>
      <c r="F33" s="66">
        <f>411.96+669.9</f>
        <v>1081.86</v>
      </c>
      <c r="G33" s="119">
        <f t="shared" si="1"/>
        <v>27.1977151167779</v>
      </c>
      <c r="H33" s="123"/>
      <c r="L33" s="96">
        <v>411.96</v>
      </c>
      <c r="M33" s="96">
        <v>669.9</v>
      </c>
      <c r="XFC33" s="102"/>
      <c r="XFD33" s="102"/>
    </row>
    <row r="34" s="96" customFormat="1" ht="18" customHeight="1" spans="1:16384">
      <c r="A34" s="61" t="s">
        <v>490</v>
      </c>
      <c r="B34" s="66">
        <f t="shared" ref="B34:F34" si="11">B35</f>
        <v>8223</v>
      </c>
      <c r="C34" s="66">
        <f t="shared" si="11"/>
        <v>9555.11</v>
      </c>
      <c r="D34" s="66">
        <f t="shared" si="11"/>
        <v>9165.9842</v>
      </c>
      <c r="E34" s="119">
        <f t="shared" si="10"/>
        <v>11.4676419798127</v>
      </c>
      <c r="F34" s="66">
        <f t="shared" si="11"/>
        <v>0</v>
      </c>
      <c r="G34" s="119">
        <f t="shared" si="1"/>
        <v>-100</v>
      </c>
      <c r="H34" s="123"/>
      <c r="XFC34" s="102"/>
      <c r="XFD34" s="102"/>
    </row>
    <row r="35" s="96" customFormat="1" ht="18" customHeight="1" spans="1:16384">
      <c r="A35" s="61" t="s">
        <v>491</v>
      </c>
      <c r="B35" s="66">
        <v>8223</v>
      </c>
      <c r="C35" s="66">
        <v>9555.11</v>
      </c>
      <c r="D35" s="66">
        <v>9165.9842</v>
      </c>
      <c r="E35" s="119">
        <f t="shared" si="10"/>
        <v>11.4676419798127</v>
      </c>
      <c r="F35" s="66"/>
      <c r="G35" s="119">
        <f t="shared" si="1"/>
        <v>-100</v>
      </c>
      <c r="H35" s="123"/>
      <c r="XFC35" s="102"/>
      <c r="XFD35" s="102"/>
    </row>
    <row r="36" s="96" customFormat="1" ht="18" customHeight="1" spans="1:16384">
      <c r="A36" s="61" t="s">
        <v>492</v>
      </c>
      <c r="B36" s="66">
        <f>B37</f>
        <v>42</v>
      </c>
      <c r="C36" s="66">
        <f>C37</f>
        <v>0</v>
      </c>
      <c r="D36" s="66">
        <f>D37</f>
        <v>154</v>
      </c>
      <c r="E36" s="119">
        <f t="shared" si="10"/>
        <v>266.666666666667</v>
      </c>
      <c r="F36" s="66"/>
      <c r="G36" s="119">
        <f t="shared" si="1"/>
        <v>-100</v>
      </c>
      <c r="H36" s="123"/>
      <c r="XFC36" s="102"/>
      <c r="XFD36" s="102"/>
    </row>
    <row r="37" s="96" customFormat="1" ht="18" customHeight="1" spans="1:16384">
      <c r="A37" s="61" t="s">
        <v>493</v>
      </c>
      <c r="B37" s="66">
        <v>42</v>
      </c>
      <c r="C37" s="66"/>
      <c r="D37" s="66">
        <v>154</v>
      </c>
      <c r="E37" s="119">
        <f t="shared" si="10"/>
        <v>266.666666666667</v>
      </c>
      <c r="F37" s="66"/>
      <c r="G37" s="119">
        <f t="shared" si="1"/>
        <v>-100</v>
      </c>
      <c r="H37" s="123"/>
      <c r="XFC37" s="102"/>
      <c r="XFD37" s="102"/>
    </row>
    <row r="38" s="99" customFormat="1" ht="18" customHeight="1" spans="1:13">
      <c r="A38" s="112" t="s">
        <v>494</v>
      </c>
      <c r="B38" s="120">
        <f t="shared" ref="B38:F38" si="12">B19+B26+B31+B17+B34+B36</f>
        <v>102348</v>
      </c>
      <c r="C38" s="120">
        <f t="shared" si="12"/>
        <v>64164.1294</v>
      </c>
      <c r="D38" s="120">
        <f t="shared" si="12"/>
        <v>69209.84969</v>
      </c>
      <c r="E38" s="121">
        <f t="shared" si="10"/>
        <v>-32.3779168229961</v>
      </c>
      <c r="F38" s="120">
        <f>F19+F26+F31+F17+F34+F36</f>
        <v>79998.98</v>
      </c>
      <c r="G38" s="121">
        <f t="shared" si="1"/>
        <v>15.5890098856246</v>
      </c>
      <c r="H38" s="124"/>
      <c r="M38" s="96"/>
    </row>
    <row r="39" s="96" customFormat="1" ht="18" customHeight="1" spans="1:16384">
      <c r="A39" s="61" t="s">
        <v>495</v>
      </c>
      <c r="B39" s="66">
        <f t="shared" ref="B39:F39" si="13">B40+B42+B43+B41</f>
        <v>21106</v>
      </c>
      <c r="C39" s="126">
        <f t="shared" si="13"/>
        <v>150897.1906</v>
      </c>
      <c r="D39" s="66">
        <f t="shared" si="13"/>
        <v>173611.81711</v>
      </c>
      <c r="E39" s="119">
        <f t="shared" si="10"/>
        <v>722.570914005496</v>
      </c>
      <c r="F39" s="66">
        <f t="shared" si="13"/>
        <v>24700.58</v>
      </c>
      <c r="G39" s="119">
        <f t="shared" si="1"/>
        <v>-85.7725237767946</v>
      </c>
      <c r="H39" s="123"/>
      <c r="XFC39" s="102"/>
      <c r="XFD39" s="102"/>
    </row>
    <row r="40" s="96" customFormat="1" ht="18" customHeight="1" spans="1:16384">
      <c r="A40" s="61" t="s">
        <v>496</v>
      </c>
      <c r="B40" s="66"/>
      <c r="C40" s="127"/>
      <c r="D40" s="66"/>
      <c r="E40" s="119"/>
      <c r="F40" s="66">
        <f>28701-4000</f>
        <v>24701</v>
      </c>
      <c r="G40" s="119">
        <f t="shared" si="1"/>
        <v>0</v>
      </c>
      <c r="H40" s="123"/>
      <c r="XFC40" s="102"/>
      <c r="XFD40" s="102"/>
    </row>
    <row r="41" s="96" customFormat="1" ht="18" customHeight="1" spans="1:16384">
      <c r="A41" s="61" t="s">
        <v>497</v>
      </c>
      <c r="B41" s="66">
        <v>2056</v>
      </c>
      <c r="C41" s="66">
        <v>150897.14</v>
      </c>
      <c r="D41" s="66">
        <v>150897.14</v>
      </c>
      <c r="E41" s="119">
        <f t="shared" ref="E41:E44" si="14">(D41-B41)/B41*100</f>
        <v>7239.35505836576</v>
      </c>
      <c r="F41" s="66"/>
      <c r="G41" s="119">
        <f t="shared" si="1"/>
        <v>-100</v>
      </c>
      <c r="H41" s="123"/>
      <c r="L41" s="96">
        <f>3573+247</f>
        <v>3820</v>
      </c>
      <c r="M41" s="97" t="s">
        <v>498</v>
      </c>
      <c r="XFC41" s="102"/>
      <c r="XFD41" s="102"/>
    </row>
    <row r="42" s="96" customFormat="1" ht="18" customHeight="1" spans="1:16384">
      <c r="A42" s="61" t="s">
        <v>499</v>
      </c>
      <c r="B42" s="66">
        <v>6000</v>
      </c>
      <c r="C42" s="126"/>
      <c r="D42" s="66"/>
      <c r="E42" s="119">
        <f t="shared" si="14"/>
        <v>-100</v>
      </c>
      <c r="F42" s="66"/>
      <c r="G42" s="119">
        <f t="shared" si="1"/>
        <v>0</v>
      </c>
      <c r="H42" s="122"/>
      <c r="XFC42" s="102"/>
      <c r="XFD42" s="102"/>
    </row>
    <row r="43" s="96" customFormat="1" ht="18" customHeight="1" spans="1:16384">
      <c r="A43" s="61" t="s">
        <v>500</v>
      </c>
      <c r="B43" s="66">
        <v>13050</v>
      </c>
      <c r="C43" s="126">
        <f t="shared" ref="C43:F43" si="15">C16-C38-C42-C40-C41</f>
        <v>0.0505999999877531</v>
      </c>
      <c r="D43" s="66">
        <f t="shared" si="15"/>
        <v>22714.67711</v>
      </c>
      <c r="E43" s="119">
        <f t="shared" si="14"/>
        <v>74.0588284291187</v>
      </c>
      <c r="F43" s="66">
        <f t="shared" si="15"/>
        <v>-0.419999999998254</v>
      </c>
      <c r="G43" s="119">
        <f t="shared" si="1"/>
        <v>-100.001849024743</v>
      </c>
      <c r="H43" s="123"/>
      <c r="I43" s="97"/>
      <c r="XFC43" s="102"/>
      <c r="XFD43" s="102"/>
    </row>
    <row r="44" s="99" customFormat="1" ht="18" customHeight="1" spans="1:13">
      <c r="A44" s="112" t="s">
        <v>282</v>
      </c>
      <c r="B44" s="120">
        <f t="shared" ref="B44:F44" si="16">B38+B39</f>
        <v>123454</v>
      </c>
      <c r="C44" s="120">
        <f t="shared" si="16"/>
        <v>215061.32</v>
      </c>
      <c r="D44" s="120">
        <f t="shared" si="16"/>
        <v>242821.6668</v>
      </c>
      <c r="E44" s="121">
        <f t="shared" si="14"/>
        <v>96.6899953018938</v>
      </c>
      <c r="F44" s="120">
        <f t="shared" si="16"/>
        <v>104699.56</v>
      </c>
      <c r="G44" s="121">
        <f t="shared" si="1"/>
        <v>-56.8821179016798</v>
      </c>
      <c r="H44" s="124"/>
      <c r="M44" s="96"/>
    </row>
    <row r="45" s="96" customFormat="1" ht="18" customHeight="1" spans="2:16384">
      <c r="B45" s="100"/>
      <c r="C45" s="100"/>
      <c r="D45" s="101"/>
      <c r="E45" s="100"/>
      <c r="F45" s="100"/>
      <c r="XFC45" s="102"/>
      <c r="XFD45" s="102"/>
    </row>
    <row r="46" s="96" customFormat="1" ht="18" customHeight="1" spans="2:16384">
      <c r="B46" s="100"/>
      <c r="C46" s="100"/>
      <c r="D46" s="101"/>
      <c r="E46" s="100"/>
      <c r="F46" s="100"/>
      <c r="XFC46" s="102"/>
      <c r="XFD46" s="102"/>
    </row>
    <row r="47" s="96" customFormat="1" ht="18" customHeight="1" spans="2:16384">
      <c r="B47" s="100"/>
      <c r="C47" s="100"/>
      <c r="D47" s="101"/>
      <c r="E47" s="100"/>
      <c r="F47" s="100"/>
      <c r="XFC47" s="102"/>
      <c r="XFD47" s="102"/>
    </row>
    <row r="48" s="96" customFormat="1" ht="18" customHeight="1" spans="2:16384">
      <c r="B48" s="100"/>
      <c r="C48" s="100"/>
      <c r="D48" s="101"/>
      <c r="E48" s="100"/>
      <c r="F48" s="100"/>
      <c r="XFC48" s="102"/>
      <c r="XFD48" s="102"/>
    </row>
    <row r="49" s="96" customFormat="1" ht="18" customHeight="1" spans="2:16384">
      <c r="B49" s="100"/>
      <c r="C49" s="100"/>
      <c r="D49" s="101"/>
      <c r="E49" s="100"/>
      <c r="F49" s="100"/>
      <c r="XFC49" s="102"/>
      <c r="XFD49" s="102"/>
    </row>
    <row r="50" s="96" customFormat="1" ht="18" customHeight="1" spans="2:16384">
      <c r="B50" s="100"/>
      <c r="C50" s="100"/>
      <c r="D50" s="101"/>
      <c r="E50" s="100"/>
      <c r="F50" s="100"/>
      <c r="XFC50" s="102"/>
      <c r="XFD50" s="102"/>
    </row>
    <row r="51" s="96" customFormat="1" ht="18" customHeight="1" spans="2:16384">
      <c r="B51" s="100"/>
      <c r="C51" s="100"/>
      <c r="D51" s="101"/>
      <c r="E51" s="100"/>
      <c r="F51" s="100"/>
      <c r="XFC51" s="102"/>
      <c r="XFD51" s="102"/>
    </row>
    <row r="52" s="96" customFormat="1" ht="18" customHeight="1" spans="2:16384">
      <c r="B52" s="100"/>
      <c r="C52" s="100"/>
      <c r="D52" s="101"/>
      <c r="E52" s="100"/>
      <c r="F52" s="100"/>
      <c r="XFC52" s="102"/>
      <c r="XFD52" s="102"/>
    </row>
    <row r="53" s="96" customFormat="1" ht="18" customHeight="1" spans="2:16384">
      <c r="B53" s="100"/>
      <c r="C53" s="100"/>
      <c r="D53" s="101"/>
      <c r="E53" s="100"/>
      <c r="F53" s="100"/>
      <c r="XFC53" s="102"/>
      <c r="XFD53" s="102"/>
    </row>
    <row r="54" s="96" customFormat="1" ht="18" customHeight="1" spans="2:16384">
      <c r="B54" s="100"/>
      <c r="C54" s="100"/>
      <c r="D54" s="101"/>
      <c r="E54" s="100"/>
      <c r="F54" s="100"/>
      <c r="XFC54" s="102"/>
      <c r="XFD54" s="102"/>
    </row>
    <row r="55" s="96" customFormat="1" ht="18" customHeight="1" spans="2:16384">
      <c r="B55" s="100"/>
      <c r="C55" s="100"/>
      <c r="D55" s="101"/>
      <c r="E55" s="100"/>
      <c r="F55" s="100"/>
      <c r="XFC55" s="102"/>
      <c r="XFD55" s="102"/>
    </row>
    <row r="56" s="96" customFormat="1" ht="18" customHeight="1" spans="2:16384">
      <c r="B56" s="100"/>
      <c r="C56" s="100"/>
      <c r="D56" s="101"/>
      <c r="E56" s="100"/>
      <c r="F56" s="100"/>
      <c r="XFC56" s="102"/>
      <c r="XFD56" s="102"/>
    </row>
    <row r="57" s="96" customFormat="1" ht="18" customHeight="1" spans="2:16384">
      <c r="B57" s="100"/>
      <c r="C57" s="100"/>
      <c r="D57" s="101"/>
      <c r="E57" s="100"/>
      <c r="F57" s="100"/>
      <c r="XFC57" s="102"/>
      <c r="XFD57" s="102"/>
    </row>
    <row r="58" s="96" customFormat="1" ht="18" customHeight="1" spans="2:16384">
      <c r="B58" s="100"/>
      <c r="C58" s="100"/>
      <c r="D58" s="101"/>
      <c r="E58" s="100"/>
      <c r="F58" s="100"/>
      <c r="XFC58" s="102"/>
      <c r="XFD58" s="102"/>
    </row>
    <row r="59" s="96" customFormat="1" ht="18" customHeight="1" spans="2:16384">
      <c r="B59" s="100"/>
      <c r="C59" s="100"/>
      <c r="D59" s="101"/>
      <c r="E59" s="100"/>
      <c r="F59" s="100"/>
      <c r="XFC59" s="102"/>
      <c r="XFD59" s="102"/>
    </row>
    <row r="60" s="96" customFormat="1" ht="18" customHeight="1" spans="2:16384">
      <c r="B60" s="100"/>
      <c r="C60" s="100"/>
      <c r="D60" s="101"/>
      <c r="E60" s="100"/>
      <c r="F60" s="100"/>
      <c r="XFC60" s="102"/>
      <c r="XFD60" s="102"/>
    </row>
  </sheetData>
  <autoFilter ref="A4:H45">
    <extLst/>
  </autoFilter>
  <mergeCells count="5">
    <mergeCell ref="A1:H1"/>
    <mergeCell ref="C3:E3"/>
    <mergeCell ref="F3:H3"/>
    <mergeCell ref="A3:A4"/>
    <mergeCell ref="B3:B4"/>
  </mergeCells>
  <pageMargins left="0.668055555555556" right="0.471527777777778" top="0.46875" bottom="0.354166666666667" header="0.5" footer="0.15625"/>
  <pageSetup paperSize="9" orientation="landscape"/>
  <headerFooter alignWithMargins="0">
    <oddFooter>&amp;C&amp;10第 &amp;P 页，共 &amp;N 页</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0"/>
  <sheetViews>
    <sheetView topLeftCell="C6" workbookViewId="0">
      <selection activeCell="C7" sqref="C7"/>
    </sheetView>
  </sheetViews>
  <sheetFormatPr defaultColWidth="9" defaultRowHeight="12.75" outlineLevelCol="3"/>
  <cols>
    <col min="1" max="1" width="22.2" style="72" customWidth="1"/>
    <col min="2" max="2" width="11.7" style="73" customWidth="1"/>
    <col min="3" max="3" width="188.25" style="74" customWidth="1"/>
    <col min="4" max="4" width="14.1" style="72" customWidth="1"/>
    <col min="5" max="16384" width="9" style="72"/>
  </cols>
  <sheetData>
    <row r="1" ht="25.5" customHeight="1" spans="1:3">
      <c r="A1" s="75" t="s">
        <v>501</v>
      </c>
      <c r="B1" s="76"/>
      <c r="C1" s="77"/>
    </row>
    <row r="2" ht="15.75" customHeight="1" spans="1:3">
      <c r="A2" s="78"/>
      <c r="C2" s="79" t="s">
        <v>12</v>
      </c>
    </row>
    <row r="3" ht="24.9" customHeight="1" spans="1:3">
      <c r="A3" s="80" t="s">
        <v>502</v>
      </c>
      <c r="B3" s="81" t="s">
        <v>503</v>
      </c>
      <c r="C3" s="82" t="s">
        <v>288</v>
      </c>
    </row>
    <row r="4" ht="24" customHeight="1" spans="1:3">
      <c r="A4" s="83" t="s">
        <v>504</v>
      </c>
      <c r="B4" s="32">
        <v>2700</v>
      </c>
      <c r="C4" s="84" t="s">
        <v>505</v>
      </c>
    </row>
    <row r="5" s="70" customFormat="1" ht="46.05" customHeight="1" spans="1:4">
      <c r="A5" s="85" t="s">
        <v>506</v>
      </c>
      <c r="B5" s="32">
        <v>1100</v>
      </c>
      <c r="C5" s="86" t="s">
        <v>507</v>
      </c>
      <c r="D5" s="87"/>
    </row>
    <row r="6" s="71" customFormat="1" ht="369" customHeight="1" spans="1:4">
      <c r="A6" s="88" t="s">
        <v>508</v>
      </c>
      <c r="B6" s="32">
        <f>25089.18+18395+8605+4000</f>
        <v>56089.18</v>
      </c>
      <c r="C6" s="86" t="s">
        <v>509</v>
      </c>
      <c r="D6" s="87"/>
    </row>
    <row r="7" s="71" customFormat="1" ht="409.05" customHeight="1" spans="1:4">
      <c r="A7" s="89" t="s">
        <v>510</v>
      </c>
      <c r="B7" s="32">
        <f>25089.18+18395+8605+4000</f>
        <v>56089.18</v>
      </c>
      <c r="C7" s="86" t="s">
        <v>511</v>
      </c>
      <c r="D7" s="90"/>
    </row>
    <row r="8" ht="24.75" customHeight="1" spans="1:3">
      <c r="A8" s="91" t="s">
        <v>512</v>
      </c>
      <c r="B8" s="92">
        <f>SUM(B4:B6)</f>
        <v>59889.18</v>
      </c>
      <c r="C8" s="93"/>
    </row>
    <row r="9" ht="18" customHeight="1" spans="3:3">
      <c r="C9" s="94"/>
    </row>
    <row r="10" ht="18" customHeight="1" spans="3:3">
      <c r="C10" s="95"/>
    </row>
    <row r="11" ht="18" customHeight="1" spans="3:3">
      <c r="C11" s="94"/>
    </row>
    <row r="12" ht="18" customHeight="1" spans="3:3">
      <c r="C12" s="95"/>
    </row>
    <row r="13" ht="18" customHeight="1" spans="3:3">
      <c r="C13" s="94"/>
    </row>
    <row r="14" ht="18" customHeight="1" spans="3:3">
      <c r="C14" s="95"/>
    </row>
    <row r="15" ht="18" customHeight="1" spans="3:3">
      <c r="C15" s="94"/>
    </row>
    <row r="16" ht="18" customHeight="1" spans="3:3">
      <c r="C16" s="95"/>
    </row>
    <row r="17" ht="18" customHeight="1" spans="3:3">
      <c r="C17" s="94"/>
    </row>
    <row r="18" ht="18" customHeight="1" spans="3:3">
      <c r="C18" s="95"/>
    </row>
    <row r="19" ht="18" customHeight="1" spans="3:3">
      <c r="C19" s="94"/>
    </row>
    <row r="20" ht="18" customHeight="1"/>
    <row r="21" ht="18" customHeight="1"/>
    <row r="22" ht="18" customHeight="1"/>
    <row r="23" ht="18" customHeight="1"/>
    <row r="24" ht="18" customHeight="1"/>
    <row r="25" ht="18"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sheetData>
  <mergeCells count="1">
    <mergeCell ref="A1:C1"/>
  </mergeCells>
  <pageMargins left="0.275" right="0.156944444444444" top="0.707638888888889" bottom="0.11875" header="0.349305555555556" footer="0.0791666666666667"/>
  <pageSetup paperSize="9" scale="60" fitToHeight="0" orientation="landscape" verticalDpi="300"/>
  <headerFooter alignWithMargins="0">
    <oddFooter>&amp;C&amp;10第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showZeros="0" workbookViewId="0">
      <selection activeCell="H10" sqref="H10"/>
    </sheetView>
  </sheetViews>
  <sheetFormatPr defaultColWidth="9" defaultRowHeight="14.25" customHeight="1"/>
  <cols>
    <col min="1" max="1" width="33.6" style="38" customWidth="1"/>
    <col min="2" max="2" width="7.2" style="38" customWidth="1"/>
    <col min="3" max="3" width="7.5" style="39" customWidth="1"/>
    <col min="4" max="5" width="9.4" style="39" customWidth="1"/>
    <col min="6" max="6" width="9.1" style="40" customWidth="1"/>
    <col min="7" max="7" width="10" style="38" customWidth="1"/>
    <col min="8" max="8" width="36.5" style="38" customWidth="1"/>
    <col min="9" max="9" width="9" style="38" hidden="1" customWidth="1"/>
    <col min="10" max="16384" width="9" style="38"/>
  </cols>
  <sheetData>
    <row r="1" s="34" customFormat="1" ht="24.75" customHeight="1" spans="1:8">
      <c r="A1" s="41" t="s">
        <v>513</v>
      </c>
      <c r="B1" s="42"/>
      <c r="C1" s="42"/>
      <c r="D1" s="42"/>
      <c r="E1" s="42"/>
      <c r="F1" s="43"/>
      <c r="G1" s="42"/>
      <c r="H1" s="42"/>
    </row>
    <row r="2" s="34" customFormat="1" ht="17.25" customHeight="1" spans="3:8">
      <c r="C2" s="44"/>
      <c r="D2" s="44"/>
      <c r="E2" s="44"/>
      <c r="F2" s="45"/>
      <c r="H2" s="46" t="s">
        <v>514</v>
      </c>
    </row>
    <row r="3" s="34" customFormat="1" ht="20.25" customHeight="1" spans="1:8">
      <c r="A3" s="13" t="s">
        <v>515</v>
      </c>
      <c r="B3" s="13" t="s">
        <v>516</v>
      </c>
      <c r="C3" s="13" t="s">
        <v>242</v>
      </c>
      <c r="D3" s="13"/>
      <c r="E3" s="13"/>
      <c r="F3" s="47" t="s">
        <v>243</v>
      </c>
      <c r="G3" s="48"/>
      <c r="H3" s="49"/>
    </row>
    <row r="4" ht="30" customHeight="1" spans="1:8">
      <c r="A4" s="13"/>
      <c r="B4" s="13"/>
      <c r="C4" s="13" t="s">
        <v>517</v>
      </c>
      <c r="D4" s="14" t="s">
        <v>18</v>
      </c>
      <c r="E4" s="15" t="s">
        <v>518</v>
      </c>
      <c r="F4" s="50" t="s">
        <v>517</v>
      </c>
      <c r="G4" s="15" t="s">
        <v>518</v>
      </c>
      <c r="H4" s="51" t="s">
        <v>60</v>
      </c>
    </row>
    <row r="5" ht="32.1" customHeight="1" spans="1:8">
      <c r="A5" s="52" t="s">
        <v>519</v>
      </c>
      <c r="B5" s="21">
        <v>207</v>
      </c>
      <c r="C5" s="53">
        <v>70</v>
      </c>
      <c r="D5" s="21">
        <v>69</v>
      </c>
      <c r="E5" s="22">
        <f>(D5-B5)/B5*100</f>
        <v>-66.6666666666667</v>
      </c>
      <c r="F5" s="54">
        <v>35</v>
      </c>
      <c r="G5" s="22">
        <f>(F5-D5)/D5*100</f>
        <v>-49.2753623188406</v>
      </c>
      <c r="H5" s="55"/>
    </row>
    <row r="6" s="35" customFormat="1" ht="27" customHeight="1" spans="1:8">
      <c r="A6" s="56" t="s">
        <v>520</v>
      </c>
      <c r="B6" s="21">
        <v>155</v>
      </c>
      <c r="C6" s="21">
        <v>224</v>
      </c>
      <c r="D6" s="21">
        <v>229</v>
      </c>
      <c r="E6" s="22">
        <f t="shared" ref="E6:E15" si="0">(D6-B6)/B6*100</f>
        <v>47.741935483871</v>
      </c>
      <c r="F6" s="54">
        <v>200</v>
      </c>
      <c r="G6" s="22">
        <f t="shared" ref="G6:G18" si="1">(F6-D6)/D6*100</f>
        <v>-12.6637554585153</v>
      </c>
      <c r="H6" s="55"/>
    </row>
    <row r="7" s="36" customFormat="1" ht="24" customHeight="1" spans="1:8">
      <c r="A7" s="57" t="s">
        <v>521</v>
      </c>
      <c r="B7" s="32">
        <f>B5+B6</f>
        <v>362</v>
      </c>
      <c r="C7" s="32">
        <f>C5+C6</f>
        <v>294</v>
      </c>
      <c r="D7" s="32">
        <f>D5+D6</f>
        <v>298</v>
      </c>
      <c r="E7" s="18">
        <f t="shared" si="0"/>
        <v>-17.6795580110497</v>
      </c>
      <c r="F7" s="58">
        <f>SUM(F5:F6)</f>
        <v>235</v>
      </c>
      <c r="G7" s="18">
        <f t="shared" si="1"/>
        <v>-21.1409395973154</v>
      </c>
      <c r="H7" s="59"/>
    </row>
    <row r="8" s="36" customFormat="1" ht="24" customHeight="1" spans="1:8">
      <c r="A8" s="60" t="s">
        <v>522</v>
      </c>
      <c r="B8" s="21">
        <f>B9+B10</f>
        <v>97</v>
      </c>
      <c r="C8" s="53">
        <f>C9+C10</f>
        <v>73</v>
      </c>
      <c r="D8" s="21">
        <f>D9+D10</f>
        <v>73</v>
      </c>
      <c r="E8" s="22">
        <f t="shared" si="0"/>
        <v>-24.7422680412371</v>
      </c>
      <c r="F8" s="54">
        <f>F9+F10</f>
        <v>96.25</v>
      </c>
      <c r="G8" s="22">
        <f t="shared" si="1"/>
        <v>31.8493150684932</v>
      </c>
      <c r="H8" s="59"/>
    </row>
    <row r="9" s="36" customFormat="1" ht="24" customHeight="1" spans="1:8">
      <c r="A9" s="60" t="s">
        <v>523</v>
      </c>
      <c r="B9" s="21">
        <v>36</v>
      </c>
      <c r="C9" s="53">
        <v>37</v>
      </c>
      <c r="D9" s="21">
        <v>37</v>
      </c>
      <c r="E9" s="22">
        <f t="shared" si="0"/>
        <v>2.77777777777778</v>
      </c>
      <c r="F9" s="54">
        <v>38.25</v>
      </c>
      <c r="G9" s="22">
        <f t="shared" si="1"/>
        <v>3.37837837837838</v>
      </c>
      <c r="H9" s="61"/>
    </row>
    <row r="10" s="37" customFormat="1" ht="24" customHeight="1" spans="1:8">
      <c r="A10" s="62" t="s">
        <v>524</v>
      </c>
      <c r="B10" s="21">
        <v>61</v>
      </c>
      <c r="C10" s="53">
        <v>36</v>
      </c>
      <c r="D10" s="21">
        <v>36</v>
      </c>
      <c r="E10" s="22"/>
      <c r="F10" s="54">
        <v>58</v>
      </c>
      <c r="G10" s="22">
        <f t="shared" si="1"/>
        <v>61.1111111111111</v>
      </c>
      <c r="H10" s="63"/>
    </row>
    <row r="11" s="37" customFormat="1" ht="24" customHeight="1" spans="1:8">
      <c r="A11" s="57" t="s">
        <v>274</v>
      </c>
      <c r="B11" s="32">
        <f>B7+B8</f>
        <v>459</v>
      </c>
      <c r="C11" s="64">
        <f>C7+C8</f>
        <v>367</v>
      </c>
      <c r="D11" s="32">
        <f>D7+D8</f>
        <v>371</v>
      </c>
      <c r="E11" s="18">
        <f t="shared" si="0"/>
        <v>-19.1721132897603</v>
      </c>
      <c r="F11" s="58">
        <f>F7+F8</f>
        <v>331.25</v>
      </c>
      <c r="G11" s="18">
        <f t="shared" si="1"/>
        <v>-10.7142857142857</v>
      </c>
      <c r="H11" s="65"/>
    </row>
    <row r="12" ht="21.9" customHeight="1" spans="1:8">
      <c r="A12" s="55" t="s">
        <v>525</v>
      </c>
      <c r="B12" s="66">
        <v>5</v>
      </c>
      <c r="C12" s="21">
        <v>73</v>
      </c>
      <c r="D12" s="21">
        <v>14.62</v>
      </c>
      <c r="E12" s="22"/>
      <c r="F12" s="54">
        <v>96.25</v>
      </c>
      <c r="G12" s="22">
        <f t="shared" si="1"/>
        <v>558.344733242134</v>
      </c>
      <c r="H12" s="67"/>
    </row>
    <row r="13" ht="42.9" customHeight="1" spans="1:9">
      <c r="A13" s="63" t="s">
        <v>526</v>
      </c>
      <c r="B13" s="21">
        <v>418</v>
      </c>
      <c r="C13" s="21">
        <v>294</v>
      </c>
      <c r="D13" s="21">
        <v>298</v>
      </c>
      <c r="E13" s="22">
        <f t="shared" si="0"/>
        <v>-28.7081339712919</v>
      </c>
      <c r="F13" s="54"/>
      <c r="G13" s="22">
        <f t="shared" si="1"/>
        <v>-100</v>
      </c>
      <c r="H13" s="55"/>
      <c r="I13" s="38">
        <v>340</v>
      </c>
    </row>
    <row r="14" s="36" customFormat="1" ht="24" customHeight="1" spans="1:8">
      <c r="A14" s="57" t="s">
        <v>527</v>
      </c>
      <c r="B14" s="32">
        <f>B12+B13</f>
        <v>423</v>
      </c>
      <c r="C14" s="32">
        <f>C12+C13</f>
        <v>367</v>
      </c>
      <c r="D14" s="32">
        <f>D12+D13</f>
        <v>312.62</v>
      </c>
      <c r="E14" s="18">
        <f t="shared" si="0"/>
        <v>-26.0945626477541</v>
      </c>
      <c r="F14" s="58">
        <f>F12+F13</f>
        <v>96.25</v>
      </c>
      <c r="G14" s="18">
        <f t="shared" si="1"/>
        <v>-69.2118226600985</v>
      </c>
      <c r="H14" s="59"/>
    </row>
    <row r="15" s="36" customFormat="1" ht="24" customHeight="1" spans="1:8">
      <c r="A15" s="60" t="s">
        <v>528</v>
      </c>
      <c r="B15" s="21">
        <f>B17</f>
        <v>36</v>
      </c>
      <c r="C15" s="21">
        <f>C17</f>
        <v>0</v>
      </c>
      <c r="D15" s="21">
        <f>D17</f>
        <v>58.38</v>
      </c>
      <c r="E15" s="22">
        <f t="shared" si="0"/>
        <v>62.1666666666667</v>
      </c>
      <c r="F15" s="54">
        <f>F16+F17</f>
        <v>235</v>
      </c>
      <c r="G15" s="22">
        <f t="shared" si="1"/>
        <v>302.535114765331</v>
      </c>
      <c r="H15" s="59"/>
    </row>
    <row r="16" s="36" customFormat="1" ht="24" customHeight="1" spans="1:8">
      <c r="A16" s="68" t="s">
        <v>529</v>
      </c>
      <c r="B16" s="21"/>
      <c r="C16" s="21"/>
      <c r="D16" s="21"/>
      <c r="E16" s="22"/>
      <c r="F16" s="54">
        <v>235</v>
      </c>
      <c r="G16" s="22"/>
      <c r="H16" s="59"/>
    </row>
    <row r="17" s="36" customFormat="1" ht="24" customHeight="1" spans="1:8">
      <c r="A17" s="60" t="s">
        <v>530</v>
      </c>
      <c r="B17" s="21">
        <v>36</v>
      </c>
      <c r="C17" s="21">
        <f>C11-C14</f>
        <v>0</v>
      </c>
      <c r="D17" s="21">
        <f>D11-D14</f>
        <v>58.38</v>
      </c>
      <c r="E17" s="22">
        <f>(D17-B17)/B17*100</f>
        <v>62.1666666666667</v>
      </c>
      <c r="F17" s="54">
        <f>F11-F14-F16</f>
        <v>0</v>
      </c>
      <c r="G17" s="22">
        <f t="shared" si="1"/>
        <v>-100</v>
      </c>
      <c r="H17" s="59"/>
    </row>
    <row r="18" s="36" customFormat="1" ht="24" customHeight="1" spans="1:8">
      <c r="A18" s="69" t="s">
        <v>282</v>
      </c>
      <c r="B18" s="32">
        <f>B14+B15</f>
        <v>459</v>
      </c>
      <c r="C18" s="32">
        <f>C14+C15</f>
        <v>367</v>
      </c>
      <c r="D18" s="32">
        <f>D14+D15</f>
        <v>371</v>
      </c>
      <c r="E18" s="18">
        <f>(D18-B18)/B18*100</f>
        <v>-19.1721132897603</v>
      </c>
      <c r="F18" s="58">
        <f>F14+F15</f>
        <v>331.25</v>
      </c>
      <c r="G18" s="18">
        <f t="shared" si="1"/>
        <v>-10.7142857142857</v>
      </c>
      <c r="H18" s="59"/>
    </row>
    <row r="19" ht="30" customHeight="1"/>
    <row r="20" ht="30" customHeight="1"/>
    <row r="21" ht="30" customHeight="1"/>
    <row r="22" ht="30" customHeight="1"/>
    <row r="23" ht="30" customHeight="1"/>
    <row r="24" ht="30" customHeight="1"/>
    <row r="25" ht="30" customHeight="1"/>
    <row r="26" ht="30" customHeight="1"/>
    <row r="27" ht="30" customHeight="1"/>
  </sheetData>
  <mergeCells count="5">
    <mergeCell ref="A1:H1"/>
    <mergeCell ref="C3:E3"/>
    <mergeCell ref="F3:H3"/>
    <mergeCell ref="A3:A4"/>
    <mergeCell ref="B3:B4"/>
  </mergeCells>
  <printOptions horizontalCentered="1"/>
  <pageMargins left="0.429166666666667" right="0.388888888888889" top="0.579166666666667" bottom="0.196527777777778" header="0.509027777777778" footer="0.275"/>
  <pageSetup paperSize="9" scale="96" orientation="landscape"/>
  <headerFooter alignWithMargins="0">
    <oddFooter>&amp;C&amp;10第 &amp;P 页，共 &amp;N 页</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6 5 " > < c o m m e n t   s : r e f = " D 3 "   r g b C l r = " 3 0 C 6 3 C " / > < / c o m m e n t L i s t > < c o m m e n t L i s t   s h e e t S t i d = " 6 0 " / > < c o m m e n t L i s t   s h e e t S t i d = " 6 2 " > < c o m m e n t   s : r e f = " I 6 "   r g b C l r = " 3 8 C A B 0 " / > < c o m m e n t   s : r e f = " I 1 0 "   r g b C l r = " 3 8 C A B 0 " / > < c o m m e n t   s : r e f = " I 4 0 "   r g b C l r = " 3 8 C A B 0 " / > < c o m m e n t   s : r e f = " I 6 0 "   r g b C l r = " 3 8 C A B 0 " / > < c o m m e n t   s : r e f = " J 6 0 "   r g b C l r = " 3 8 C A B 0 " / > < c o m m e n t   s : r e f = " B 7 1 "   r g b C l r = " 3 8 C A B 0 " / > < c o m m e n t   s : r e f = " I 8 2 "   r g b C l r = " 3 8 C A B 0 " / > < c o m m e n t   s : r e f = " I 1 2 8 "   r g b C l r = " 3 8 C A B 0 " / > < / c o m m e n t L i s t > < c o m m e n t L i s t   s h e e t S t i d = " 5 7 " / > < c o m m e n t L i s t   s h e e t S t i d = " 5 6 " / > < c o m m e n t L i s t   s h e e t S t i d = " 4 8 " / > < / 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Company>JUJUMAO</Company>
  <Application>Microsoft Excel</Application>
  <HeadingPairs>
    <vt:vector size="2" baseType="variant">
      <vt:variant>
        <vt:lpstr>工作表</vt:lpstr>
      </vt:variant>
      <vt:variant>
        <vt:i4>11</vt:i4>
      </vt:variant>
    </vt:vector>
  </HeadingPairs>
  <TitlesOfParts>
    <vt:vector size="11" baseType="lpstr">
      <vt:lpstr>封面</vt:lpstr>
      <vt:lpstr>表一财政收入表</vt:lpstr>
      <vt:lpstr>表二一般公共预算支出执行表</vt:lpstr>
      <vt:lpstr>表三一般公共预算收支总表</vt:lpstr>
      <vt:lpstr>表四一般公共预算支出预算表</vt:lpstr>
      <vt:lpstr>表四政府经济分类科目表</vt:lpstr>
      <vt:lpstr>表五政府性基金收支总表</vt:lpstr>
      <vt:lpstr>表五政府性基金支出明细表</vt:lpstr>
      <vt:lpstr>表六国有资本经营预算收支表</vt:lpstr>
      <vt:lpstr>表七社会保险基金收支表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xs</cp:lastModifiedBy>
  <dcterms:created xsi:type="dcterms:W3CDTF">2007-12-15T03:18:00Z</dcterms:created>
  <cp:lastPrinted>2018-12-30T12:52:00Z</cp:lastPrinted>
  <dcterms:modified xsi:type="dcterms:W3CDTF">2024-03-05T02:09:27Z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D087DAAA55834E6EA51568C8DB079DD0_13</vt:lpwstr>
  </property>
  <property fmtid="{D5CDD505-2E9C-101B-9397-08002B2CF9AE}" pid="4" name="KSOReadingLayout">
    <vt:bool>true</vt:bool>
  </property>
</Properties>
</file>